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13_ncr:1_{64435B68-A06A-4B92-B788-FD5687852FB0}" xr6:coauthVersionLast="47" xr6:coauthVersionMax="47" xr10:uidLastSave="{00000000-0000-0000-0000-000000000000}"/>
  <bookViews>
    <workbookView xWindow="-120" yWindow="-120" windowWidth="29040" windowHeight="15840" tabRatio="818" xr2:uid="{9AA5CA3B-103F-4503-BB38-84DF181EF15E}"/>
  </bookViews>
  <sheets>
    <sheet name="Overall" sheetId="1" r:id="rId1"/>
    <sheet name="Electrical " sheetId="2" r:id="rId2"/>
    <sheet name="Mechanical - Rail_AssemblyV2_0" sheetId="9" r:id="rId3"/>
    <sheet name="Mechanical - Ebox_Assy" sheetId="16" r:id="rId4"/>
    <sheet name="Mechanical - Top_Rail_Full" sheetId="12" r:id="rId5"/>
    <sheet name="Mechanical - Carriage Assembly" sheetId="4" r:id="rId6"/>
    <sheet name="Mechanical - Top_Rail_Section" sheetId="13" r:id="rId7"/>
    <sheet name="Mechanical - Yaxis_Carriage" sheetId="14" r:id="rId8"/>
    <sheet name="Mechanical - Buffer" sheetId="6" r:id="rId9"/>
    <sheet name="Mechanical - X_CarriageFWD_V2_1" sheetId="7" r:id="rId10"/>
    <sheet name="Mechanical - X_Carriage_v2_1" sheetId="15" r:id="rId11"/>
    <sheet name="Mechanical - X_CarriageFWDBeari" sheetId="8" r:id="rId12"/>
    <sheet name="Mechanical - Bottom_Foot_Assemb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C56" i="2"/>
  <c r="C55" i="2"/>
  <c r="C57" i="2"/>
  <c r="H57" i="2"/>
  <c r="I57" i="2"/>
  <c r="I55" i="2"/>
  <c r="H55" i="2"/>
  <c r="I56" i="2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9" i="16"/>
  <c r="E9" i="16"/>
  <c r="F17" i="16"/>
  <c r="F16" i="16"/>
  <c r="G4" i="16"/>
  <c r="F22" i="16"/>
  <c r="E22" i="16"/>
  <c r="K23" i="16"/>
  <c r="F23" i="16"/>
  <c r="E23" i="16"/>
  <c r="F21" i="16"/>
  <c r="E21" i="16"/>
  <c r="F19" i="16"/>
  <c r="E19" i="16"/>
  <c r="F18" i="16"/>
  <c r="E18" i="16"/>
  <c r="F15" i="16"/>
  <c r="E15" i="16"/>
  <c r="F14" i="16"/>
  <c r="E14" i="16"/>
  <c r="F13" i="16"/>
  <c r="E13" i="16"/>
  <c r="E11" i="16"/>
  <c r="F10" i="16"/>
  <c r="E10" i="16"/>
  <c r="E8" i="16"/>
  <c r="F7" i="16"/>
  <c r="E7" i="16"/>
  <c r="E6" i="16"/>
  <c r="F5" i="16"/>
  <c r="E5" i="16"/>
  <c r="E4" i="16"/>
  <c r="F3" i="16"/>
  <c r="G3" i="16" s="1"/>
  <c r="F20" i="16"/>
  <c r="E20" i="16"/>
  <c r="E17" i="16"/>
  <c r="E16" i="16"/>
  <c r="F12" i="16"/>
  <c r="E12" i="16"/>
  <c r="F3" i="6"/>
  <c r="E3" i="6"/>
  <c r="F4" i="15"/>
  <c r="E4" i="15"/>
  <c r="F4" i="7"/>
  <c r="E4" i="7"/>
  <c r="G4" i="12"/>
  <c r="G5" i="12"/>
  <c r="G7" i="12"/>
  <c r="G4" i="14"/>
  <c r="G5" i="14"/>
  <c r="G7" i="14"/>
  <c r="G8" i="14"/>
  <c r="G11" i="14"/>
  <c r="G14" i="14"/>
  <c r="G15" i="14"/>
  <c r="G16" i="14"/>
  <c r="G17" i="14"/>
  <c r="G18" i="14"/>
  <c r="G19" i="14"/>
  <c r="G20" i="14"/>
  <c r="G21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E35" i="14"/>
  <c r="F35" i="14"/>
  <c r="F32" i="14"/>
  <c r="E32" i="14"/>
  <c r="F31" i="14"/>
  <c r="E31" i="14"/>
  <c r="F24" i="14"/>
  <c r="E24" i="14"/>
  <c r="F23" i="14"/>
  <c r="E23" i="14"/>
  <c r="F22" i="14"/>
  <c r="G22" i="14" s="1"/>
  <c r="F21" i="14"/>
  <c r="E21" i="14"/>
  <c r="F18" i="14"/>
  <c r="E18" i="14"/>
  <c r="F17" i="14"/>
  <c r="E17" i="14"/>
  <c r="E15" i="14"/>
  <c r="G4" i="15"/>
  <c r="G5" i="15"/>
  <c r="G6" i="15"/>
  <c r="G7" i="15"/>
  <c r="G8" i="15"/>
  <c r="F7" i="15"/>
  <c r="E7" i="15"/>
  <c r="F6" i="15"/>
  <c r="E6" i="15"/>
  <c r="K8" i="15"/>
  <c r="F8" i="15"/>
  <c r="E8" i="15"/>
  <c r="F5" i="15"/>
  <c r="E5" i="15"/>
  <c r="F3" i="15"/>
  <c r="G3" i="15" s="1"/>
  <c r="E3" i="15"/>
  <c r="F4" i="14"/>
  <c r="E4" i="14"/>
  <c r="F34" i="14"/>
  <c r="E34" i="14"/>
  <c r="K33" i="14"/>
  <c r="F33" i="14"/>
  <c r="E33" i="14"/>
  <c r="F30" i="14"/>
  <c r="E30" i="14"/>
  <c r="K29" i="14"/>
  <c r="F29" i="14"/>
  <c r="E29" i="14"/>
  <c r="K28" i="14"/>
  <c r="F28" i="14"/>
  <c r="E28" i="14"/>
  <c r="E25" i="14"/>
  <c r="F20" i="14"/>
  <c r="E20" i="14"/>
  <c r="E19" i="14"/>
  <c r="E16" i="14"/>
  <c r="E14" i="14"/>
  <c r="F11" i="14"/>
  <c r="F3" i="4"/>
  <c r="K11" i="14"/>
  <c r="E11" i="14"/>
  <c r="F8" i="14"/>
  <c r="F5" i="14"/>
  <c r="E5" i="14"/>
  <c r="F3" i="14"/>
  <c r="E3" i="14"/>
  <c r="E26" i="14"/>
  <c r="E27" i="14"/>
  <c r="K25" i="14"/>
  <c r="K26" i="14"/>
  <c r="K27" i="14"/>
  <c r="K31" i="14"/>
  <c r="K32" i="14"/>
  <c r="G3" i="14"/>
  <c r="F7" i="12"/>
  <c r="E7" i="12"/>
  <c r="E6" i="12"/>
  <c r="F4" i="12"/>
  <c r="E4" i="12"/>
  <c r="C3" i="12"/>
  <c r="G3" i="12" s="1"/>
  <c r="F3" i="12"/>
  <c r="G3" i="13"/>
  <c r="K3" i="13"/>
  <c r="F3" i="13"/>
  <c r="E3" i="13"/>
  <c r="F4" i="13"/>
  <c r="E4" i="13"/>
  <c r="G4" i="13"/>
  <c r="I22" i="13"/>
  <c r="E5" i="12"/>
  <c r="G4" i="4"/>
  <c r="G6" i="4"/>
  <c r="G7" i="4"/>
  <c r="G8" i="4"/>
  <c r="G10" i="4"/>
  <c r="G11" i="4"/>
  <c r="G12" i="4"/>
  <c r="G14" i="4"/>
  <c r="G16" i="4"/>
  <c r="F16" i="4"/>
  <c r="E16" i="4"/>
  <c r="K7" i="12"/>
  <c r="K6" i="12"/>
  <c r="G4" i="9"/>
  <c r="G6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E35" i="9"/>
  <c r="F6" i="9"/>
  <c r="F7" i="9"/>
  <c r="F11" i="9"/>
  <c r="F14" i="9"/>
  <c r="F16" i="9"/>
  <c r="F21" i="9"/>
  <c r="F22" i="9"/>
  <c r="F23" i="9"/>
  <c r="F24" i="9"/>
  <c r="F26" i="9"/>
  <c r="F27" i="9"/>
  <c r="F28" i="9"/>
  <c r="F29" i="9"/>
  <c r="F30" i="9"/>
  <c r="F31" i="9"/>
  <c r="F32" i="9"/>
  <c r="F33" i="9"/>
  <c r="F34" i="9"/>
  <c r="K7" i="10"/>
  <c r="G7" i="10"/>
  <c r="F7" i="10"/>
  <c r="E7" i="10"/>
  <c r="K6" i="10"/>
  <c r="F6" i="10"/>
  <c r="E6" i="10"/>
  <c r="F4" i="10"/>
  <c r="E5" i="10"/>
  <c r="F3" i="10"/>
  <c r="E28" i="9"/>
  <c r="E27" i="9"/>
  <c r="E29" i="9"/>
  <c r="E30" i="9"/>
  <c r="K33" i="9"/>
  <c r="E33" i="9"/>
  <c r="K34" i="9"/>
  <c r="E34" i="9"/>
  <c r="K32" i="9"/>
  <c r="E32" i="9"/>
  <c r="E25" i="9"/>
  <c r="E20" i="9"/>
  <c r="K16" i="9"/>
  <c r="E16" i="9"/>
  <c r="E15" i="9"/>
  <c r="E13" i="9"/>
  <c r="E12" i="9"/>
  <c r="E10" i="9"/>
  <c r="E9" i="9"/>
  <c r="E8" i="9"/>
  <c r="E19" i="9"/>
  <c r="E18" i="9"/>
  <c r="E6" i="9"/>
  <c r="E3" i="9"/>
  <c r="E7" i="9"/>
  <c r="E11" i="9"/>
  <c r="E14" i="9"/>
  <c r="E24" i="9"/>
  <c r="E23" i="9"/>
  <c r="E22" i="9"/>
  <c r="E31" i="9"/>
  <c r="E21" i="9"/>
  <c r="G6" i="10"/>
  <c r="G5" i="10"/>
  <c r="G4" i="10"/>
  <c r="E4" i="10"/>
  <c r="G3" i="10"/>
  <c r="E3" i="10"/>
  <c r="G3" i="9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3" i="7"/>
  <c r="G3" i="7"/>
  <c r="E3" i="7"/>
  <c r="G4" i="7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E4" i="6"/>
  <c r="I22" i="8"/>
  <c r="G8" i="7"/>
  <c r="G7" i="7"/>
  <c r="K3" i="7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3" i="4"/>
  <c r="L3" i="16" l="1"/>
  <c r="E5" i="1" s="1"/>
  <c r="F5" i="1" s="1"/>
  <c r="L3" i="7"/>
  <c r="L3" i="15"/>
  <c r="F6" i="12"/>
  <c r="G6" i="12" s="1"/>
  <c r="L3" i="13"/>
  <c r="I22" i="10"/>
  <c r="L3" i="10"/>
  <c r="F5" i="4"/>
  <c r="G5" i="4" s="1"/>
  <c r="F9" i="4"/>
  <c r="G9" i="4" s="1"/>
  <c r="F10" i="14" l="1"/>
  <c r="G10" i="14" s="1"/>
  <c r="F13" i="14"/>
  <c r="G13" i="14" s="1"/>
  <c r="F12" i="14"/>
  <c r="G12" i="14" s="1"/>
  <c r="F9" i="14"/>
  <c r="G9" i="14" s="1"/>
  <c r="F13" i="4"/>
  <c r="G13" i="4" s="1"/>
  <c r="F15" i="4"/>
  <c r="G15" i="4" s="1"/>
  <c r="N7" i="1"/>
  <c r="Q7" i="1" s="1"/>
  <c r="R7" i="1" s="1"/>
  <c r="N8" i="1"/>
  <c r="Q8" i="1" s="1"/>
  <c r="R8" i="1" s="1"/>
  <c r="N6" i="1"/>
  <c r="Q6" i="1" s="1"/>
  <c r="R6" i="1" s="1"/>
  <c r="I60" i="2"/>
  <c r="I52" i="2"/>
  <c r="I24" i="2"/>
  <c r="L3" i="4" l="1"/>
  <c r="F17" i="9" s="1"/>
  <c r="G17" i="9" s="1"/>
  <c r="F5" i="9"/>
  <c r="G5" i="9" s="1"/>
  <c r="F6" i="14"/>
  <c r="G6" i="14" s="1"/>
  <c r="L3" i="14" s="1"/>
  <c r="F8" i="12" s="1"/>
  <c r="G8" i="12" s="1"/>
  <c r="I22" i="12" l="1"/>
  <c r="L3" i="12"/>
  <c r="E4" i="1" s="1"/>
  <c r="F4" i="1" s="1"/>
  <c r="L3" i="9"/>
  <c r="E3" i="1" s="1"/>
  <c r="F3" i="1" s="1"/>
  <c r="L2" i="1" l="1"/>
</calcChain>
</file>

<file path=xl/sharedStrings.xml><?xml version="1.0" encoding="utf-8"?>
<sst xmlns="http://schemas.openxmlformats.org/spreadsheetml/2006/main" count="1138" uniqueCount="443">
  <si>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</si>
  <si>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</si>
  <si>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</si>
  <si>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</si>
  <si>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</si>
  <si>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</si>
  <si>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</si>
  <si>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</si>
  <si>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</si>
  <si>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</si>
  <si>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</si>
  <si>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</si>
  <si>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</si>
  <si>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</si>
  <si>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</si>
  <si>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</si>
  <si>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</si>
  <si>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</si>
  <si>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</si>
  <si>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</si>
  <si>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</si>
  <si>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</si>
  <si>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</si>
  <si>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</si>
  <si>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</si>
  <si>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</si>
  <si>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</si>
  <si>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</si>
  <si>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</si>
  <si>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</si>
  <si>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</si>
  <si>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</si>
  <si>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</si>
  <si>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</si>
  <si>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</si>
  <si>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</si>
  <si>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</si>
  <si>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</si>
  <si>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</si>
  <si>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</si>
  <si>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</si>
  <si>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</si>
  <si>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</si>
  <si>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</si>
  <si>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</si>
  <si>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</si>
  <si>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</si>
  <si>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</si>
  <si>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</si>
  <si>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</si>
  <si>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</si>
  <si>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</si>
  <si>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</si>
  <si>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</si>
  <si>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</si>
  <si>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</si>
  <si>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</si>
  <si>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</si>
  <si>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</si>
  <si>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</si>
  <si>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</si>
  <si>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</si>
  <si>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</si>
  <si>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</si>
  <si>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</si>
  <si>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</si>
  <si>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</si>
  <si>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</si>
  <si>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</si>
  <si>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</si>
  <si>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</si>
  <si>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</si>
  <si>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</si>
  <si>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</si>
  <si>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</si>
  <si>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</si>
  <si>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</si>
  <si>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</si>
  <si>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</si>
  <si>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</si>
  <si>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</si>
  <si>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</si>
  <si>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</si>
  <si>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</si>
  <si>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</si>
  <si>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</si>
  <si>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</si>
  <si>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</si>
  <si>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</si>
  <si>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</si>
  <si>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</si>
  <si>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</si>
  <si>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</si>
  <si>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</si>
  <si>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</si>
  <si>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</si>
  <si>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</si>
  <si>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</si>
  <si>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</si>
  <si>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</si>
  <si>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</si>
  <si>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</si>
  <si>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</si>
  <si>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</si>
  <si>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</si>
  <si>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</si>
  <si>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</si>
  <si>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</si>
  <si>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</si>
  <si>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</si>
  <si>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</si>
  <si>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</si>
  <si>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</si>
  <si>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</si>
  <si>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</si>
  <si>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</si>
  <si>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</si>
  <si>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</si>
  <si>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</si>
  <si>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</si>
  <si>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</si>
  <si>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</si>
  <si>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</si>
  <si>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</si>
  <si>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</si>
  <si>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</si>
  <si>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</si>
  <si>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</si>
  <si>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</si>
  <si>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</si>
  <si>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</si>
  <si>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</si>
  <si>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</si>
  <si>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</si>
  <si>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</si>
  <si>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</si>
  <si>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</si>
  <si>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</si>
  <si>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</si>
  <si>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</si>
  <si>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</si>
  <si>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</si>
  <si>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</si>
  <si>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</si>
  <si>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</si>
  <si>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</si>
  <si>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</si>
  <si>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</si>
  <si>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</si>
  <si>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</si>
  <si>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</si>
  <si>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</si>
  <si>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</si>
  <si>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</si>
  <si>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</si>
  <si>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</si>
  <si>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</si>
  <si>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</si>
  <si>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</si>
  <si>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</si>
  <si>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</si>
  <si>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</si>
  <si>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</si>
  <si>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</si>
  <si>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</si>
  <si>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</si>
  <si>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</si>
  <si>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</si>
  <si>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</si>
  <si>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</si>
  <si>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</si>
  <si>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</si>
  <si>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</si>
  <si>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</si>
  <si>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</si>
  <si>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</si>
  <si>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</si>
  <si>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</si>
  <si>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</si>
  <si>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</si>
  <si>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</si>
  <si>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</si>
  <si>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</si>
  <si>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</si>
  <si>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</si>
  <si>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</si>
  <si>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</si>
  <si>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</si>
  <si>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</si>
  <si>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</si>
  <si>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</si>
  <si>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</si>
  <si>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</si>
  <si>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</si>
  <si>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</si>
  <si>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</si>
  <si>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</si>
  <si>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</si>
  <si>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</si>
  <si>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</si>
  <si>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Integrated Stepper Driver PCB BOM</t>
  </si>
  <si>
    <t>ESP32 GRBL Controller PCB BOM</t>
  </si>
  <si>
    <t>Main System Assembly</t>
  </si>
  <si>
    <t>Subtotal</t>
  </si>
  <si>
    <t>SENSOR REED SW SPST-NC W LEADS</t>
  </si>
  <si>
    <t>CABLE MOD 8P8C PLUG-PLUG 32.81'</t>
  </si>
  <si>
    <t xml:space="preserve">Nvidia </t>
  </si>
  <si>
    <t>Motor Connector Wire (30ft)</t>
  </si>
  <si>
    <t>Side Rail Assembly</t>
  </si>
  <si>
    <t>Comments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</si>
  <si>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</si>
  <si>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</si>
  <si>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</si>
  <si>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</si>
  <si>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</si>
  <si>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</si>
  <si>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</si>
  <si>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Height (m)</t>
  </si>
  <si>
    <t>Width (m)</t>
  </si>
  <si>
    <t>Length (m)</t>
  </si>
  <si>
    <t>Base Parameters</t>
  </si>
  <si>
    <t>Add-On Modules</t>
  </si>
  <si>
    <t>Number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</si>
  <si>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</si>
  <si>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</si>
  <si>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</si>
  <si>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</si>
  <si>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</si>
  <si>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</si>
  <si>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</si>
  <si>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</si>
  <si>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</si>
  <si>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</si>
  <si>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</si>
  <si>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</si>
  <si>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</si>
  <si>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</si>
  <si>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</si>
  <si>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</si>
  <si>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</si>
  <si>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</si>
  <si>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</si>
  <si>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</si>
  <si>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</si>
  <si>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</si>
  <si>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</si>
  <si>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</si>
  <si>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</si>
  <si>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</si>
  <si>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</si>
  <si>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</si>
  <si>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</si>
  <si>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</si>
  <si>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</si>
  <si>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</si>
  <si>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</si>
  <si>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</si>
  <si>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</si>
  <si>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</si>
  <si>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</si>
  <si>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</si>
  <si>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</si>
  <si>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</si>
  <si>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</si>
  <si>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</si>
  <si>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</si>
  <si>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</si>
  <si>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</si>
  <si>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</si>
  <si>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</si>
  <si>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</si>
  <si>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</si>
  <si>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</si>
  <si>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</si>
  <si>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</si>
  <si>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</si>
  <si>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</si>
  <si>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</si>
  <si>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</si>
  <si>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</si>
  <si>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</si>
  <si>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</si>
  <si>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</si>
  <si>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</si>
  <si>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</si>
  <si>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</si>
  <si>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</si>
  <si>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</si>
  <si>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</si>
  <si>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</si>
  <si>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</si>
  <si>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</si>
  <si>
    <t>23HS8430B</t>
  </si>
  <si>
    <t>2804S_NEMA2115_1Gearbox</t>
  </si>
  <si>
    <t>Main</t>
  </si>
  <si>
    <t>20-4040_2m</t>
  </si>
  <si>
    <t>NEMA23_Shroud</t>
  </si>
  <si>
    <t>98952A059_ALUM MALE-FEM THRDED HEX STANDOFF</t>
  </si>
  <si>
    <t>95783A039_NYLON 6-6 MALE-FEM THRDED HEX STANDOFF</t>
  </si>
  <si>
    <t>HFS5-4060-2125</t>
  </si>
  <si>
    <t>Integrated_Stepper_NEMA23_Mount</t>
  </si>
  <si>
    <t>20-2568_d</t>
  </si>
  <si>
    <t>5mm_bore_10mm_width_idlepulley</t>
  </si>
  <si>
    <t>Tape_Belt_Layer</t>
  </si>
  <si>
    <t>SDP_sdpsi_a_6a55m028df0912</t>
  </si>
  <si>
    <t>SDP_sdpsi_a_6r25mc1000</t>
  </si>
  <si>
    <t>Carriage_Assembly</t>
  </si>
  <si>
    <t>NEMA23_StepperonlineMount</t>
  </si>
  <si>
    <t>59145_Sensor</t>
  </si>
  <si>
    <t>RightAngle_SideBracket</t>
  </si>
  <si>
    <t>Cable_Guide_Holder</t>
  </si>
  <si>
    <t>RightAngle_PulleySupport</t>
  </si>
  <si>
    <t>MagnetHolder</t>
  </si>
  <si>
    <t>MagnetActuatorHolder</t>
  </si>
  <si>
    <t>59145_Actuator</t>
  </si>
  <si>
    <t>Bottom_Foot_Assembly</t>
  </si>
  <si>
    <t>Bolt M5 8mm</t>
  </si>
  <si>
    <t>Bolt M5 12mm</t>
  </si>
  <si>
    <t>Bolt M5 25mm</t>
  </si>
  <si>
    <t>Bolt M4 10mm</t>
  </si>
  <si>
    <t>RightAngle_Bracket_60mm</t>
  </si>
  <si>
    <t>Custom - Electronics</t>
  </si>
  <si>
    <t>Stepper Online</t>
  </si>
  <si>
    <t xml:space="preserve">Included with 23HS8430B </t>
  </si>
  <si>
    <t xml:space="preserve">NEMA 23 Motor w/ Planetary Gearbox (47:1 reduction) </t>
  </si>
  <si>
    <t>Bought as a pack (both motor and gearbox)</t>
  </si>
  <si>
    <t>Gearbox included in motor price</t>
  </si>
  <si>
    <t xml:space="preserve">Integrated Stepper Driver custom PCB with closed feedback option </t>
  </si>
  <si>
    <t>Custom assembly / manufacter - see Electrical tab</t>
  </si>
  <si>
    <t xml:space="preserve">2 meter cut length (can be customized for different track requirements) </t>
  </si>
  <si>
    <t>Digikey</t>
  </si>
  <si>
    <t>Misumi</t>
  </si>
  <si>
    <t>Custom motor bracket adapter for the Integrated Stepper PCB onto NEMA 23 Motors</t>
  </si>
  <si>
    <t>GT2 Idler Pulley 20 Toothless 3mm Bore 10mm Width</t>
  </si>
  <si>
    <t>Bought as a pack of 10</t>
  </si>
  <si>
    <t>SDP/SI</t>
  </si>
  <si>
    <t>PolyBelt</t>
  </si>
  <si>
    <t>15-5M MTD5 Open End Belt Roll Polyurethane with Steel Cords.</t>
  </si>
  <si>
    <t>Can also be bought on Ebay / Amazon for much cheapera but shipping time is not guarenteed</t>
  </si>
  <si>
    <t>Ebay</t>
  </si>
  <si>
    <t>2020 Corner Bracket Plate Anodised L Shape 5 Hole</t>
  </si>
  <si>
    <t>Nema 23 Motor Mount Bracket</t>
  </si>
  <si>
    <t>Custom Carriage Assembly</t>
  </si>
  <si>
    <t xml:space="preserve">2125mm HFS5-4060 Tslot Extrusion </t>
  </si>
  <si>
    <t>ENCODER OMITTED FROM ASSEMBLY</t>
  </si>
  <si>
    <t>Column1</t>
  </si>
  <si>
    <t>Passivated 18-8 Stainless Steel, M5 x 0.80 mm Thread, 25mm Long</t>
  </si>
  <si>
    <t>M4 x 0.7mm Thread, 10mm Long</t>
  </si>
  <si>
    <t>Bottom_Foot_Standoff</t>
  </si>
  <si>
    <t>SpacerBlock_25mm</t>
  </si>
  <si>
    <t>62805K49_Heavy Duty Leveling Mount</t>
  </si>
  <si>
    <t>Bolt M5 40mm</t>
  </si>
  <si>
    <t>Nut M6</t>
  </si>
  <si>
    <t>Passivated 18-8 Stainless Steel, M5 x 0.80 mm Thread, 40mm Long</t>
  </si>
  <si>
    <t>Heavy Duty Leveling Mount with 38 mm Long M6 x 1 mm Threaded Stud</t>
  </si>
  <si>
    <t>Spacer to ensure carriage doesn't hit the lower feet</t>
  </si>
  <si>
    <t xml:space="preserve">Feet mounts (made for M6 caster feet) </t>
  </si>
  <si>
    <t>Medium-Strength, Class 8, M6 x 1 mm Thread</t>
  </si>
  <si>
    <t xml:space="preserve">Can also be bought on Amazon for cheaper (MUST BE ZINC PLATED OR STAINLESS) </t>
  </si>
  <si>
    <t>Custom foot for leveling track frame</t>
  </si>
  <si>
    <t>Passivated 18-8 Stainless Steel, M5 x 0.80 mm Thread, 8mm Long</t>
  </si>
  <si>
    <t>Passivated 18-8 Stainless Steel, M5 x 0.80 mm Thread, 12mm Long</t>
  </si>
  <si>
    <t>Closed Loop Belt</t>
  </si>
  <si>
    <t>Not Modeled</t>
  </si>
  <si>
    <t>650-5M-09 Polyurethane with Steel Cord Timing Belt, 650mm Long, 130 Tooth</t>
  </si>
  <si>
    <t>Top_Rail_Full</t>
  </si>
  <si>
    <t>Bought as a pack of 50</t>
  </si>
  <si>
    <t>Top_Rail_Section</t>
  </si>
  <si>
    <t>7959K23_1 2 Width MXL Series No. Ll050mxl Timing Belt_20ft</t>
  </si>
  <si>
    <t>CableChain_Holder</t>
  </si>
  <si>
    <t>YAxis_Carriage</t>
  </si>
  <si>
    <t>20-2040 is a 40mm x 40mm metric 20 series rectangular T-slot profile</t>
  </si>
  <si>
    <t>Magnet Holder for End Stops - 3D printed with PETG (price estimated on $/Kg for PETG on Amazon</t>
  </si>
  <si>
    <t>Bracket to hold idler pulley for tension adjust - 3D printed with PETG (price estimated on $/Kg for PETG on Amazon</t>
  </si>
  <si>
    <t>Cable holder for Power cabling  - 3D printed with PETG (price estimated on $/Kg for PETG on Amazon</t>
  </si>
  <si>
    <t>Cable Holder for side track- 3D printed with PETG (price estimated on $/Kg for PETG on Amazon</t>
  </si>
  <si>
    <t>SmallBelt_Pulley</t>
  </si>
  <si>
    <t>Bolt M3 30mm</t>
  </si>
  <si>
    <t>small_belt_loop</t>
  </si>
  <si>
    <t>PND_CAM_MSRE</t>
  </si>
  <si>
    <t>X_CarriageR_V2_0</t>
  </si>
  <si>
    <t>X_Carriage_V2_1</t>
  </si>
  <si>
    <t>20-2040_200mm</t>
  </si>
  <si>
    <t>X_Carriage_V2_0</t>
  </si>
  <si>
    <t>X_CarriageR_V2_1</t>
  </si>
  <si>
    <t>10mm_Idle_Pulley_3M</t>
  </si>
  <si>
    <t>95947A725_Aluminum Female Threaded Hex Standoff</t>
  </si>
  <si>
    <t>NEMA17 x 40</t>
  </si>
  <si>
    <t>NEMA17_Shroud</t>
  </si>
  <si>
    <t>RightAngle_Bracket</t>
  </si>
  <si>
    <t>CableChain_Mount</t>
  </si>
  <si>
    <t>Camera_Mount</t>
  </si>
  <si>
    <t>121-11-22(FPGA-RJ45_C-Frontpl-18,1_ER-11,7)</t>
  </si>
  <si>
    <t>Camera_Mount_DFK33GP006</t>
  </si>
  <si>
    <t>Tamron_M118M06</t>
  </si>
  <si>
    <t>Bolt M5 20mm</t>
  </si>
  <si>
    <t>Bolt M3 50mm</t>
  </si>
  <si>
    <t>M3_10mmSpacer</t>
  </si>
  <si>
    <t>Passivated 18-8 Stainless Steel, M3 x 0.50 mm Thread, 50mm Long</t>
  </si>
  <si>
    <t>MicaSense</t>
  </si>
  <si>
    <t>StepperOnline</t>
  </si>
  <si>
    <t>Combined with Camera Module (DFK 33GP006)</t>
  </si>
  <si>
    <t xml:space="preserve"> X_Carriage_V2_1</t>
  </si>
  <si>
    <t>4mm_Roller_Spacer_extended</t>
  </si>
  <si>
    <t>685ZZFlanged_Adapter</t>
  </si>
  <si>
    <t>Shroud for NEMA 17 Motor - 3D printed with PETG (price estimated on $/Kg for PETG on Amazon</t>
  </si>
  <si>
    <t>Bracket for NEMA 17 Motor - 3D printed with PETG (price estimated on $/Kg for PETG on Amazon</t>
  </si>
  <si>
    <t>Magnet for EndStops</t>
  </si>
  <si>
    <t>Mount for Cable Chain - 3D printed with PETG (price estimated on $/Kg for PETG on Amazon</t>
  </si>
  <si>
    <t>Nylon Spacers M3 - 10mm long</t>
  </si>
  <si>
    <t xml:space="preserve"> Ebox_Assy</t>
  </si>
  <si>
    <t>Jetson nano_fixed</t>
  </si>
  <si>
    <t>IEC320-C14</t>
  </si>
  <si>
    <t>se300-t-b</t>
  </si>
  <si>
    <t>Waterproof Ethernet RJ45 Passthrough</t>
  </si>
  <si>
    <t>DELL_DA-130PE1-00</t>
  </si>
  <si>
    <t>PowerBrick_Clamp</t>
  </si>
  <si>
    <t>12_24_5VUSBConverter</t>
  </si>
  <si>
    <t>25W_1224_5V</t>
  </si>
  <si>
    <t>EboxBottom</t>
  </si>
  <si>
    <t>95783A051_Nylon 6 6 Male-Female Threaded Hex Standoff</t>
  </si>
  <si>
    <t>95783A057_Nylon 6 6 Male-Female Threaded Hex Standoff</t>
  </si>
  <si>
    <t>95783A069_Nylon 6 6 Male-Female Threaded Hex Standoff</t>
  </si>
  <si>
    <t>Jetson_Mount</t>
  </si>
  <si>
    <t>ESP32GRBL_Mount</t>
  </si>
  <si>
    <t>Bolt M3 10mm</t>
  </si>
  <si>
    <t>98952A407_Aluminum Male-Female Threaded Hex Standoff</t>
  </si>
  <si>
    <t>EboxTslotMount</t>
  </si>
  <si>
    <t>M5-6mm-HeatInsert</t>
  </si>
  <si>
    <t>GRBL ESP32 Controller for Stepper control</t>
  </si>
  <si>
    <t>Seahorse</t>
  </si>
  <si>
    <t>Ebox Assembly</t>
  </si>
  <si>
    <t>Plate to Mount Jetson</t>
  </si>
  <si>
    <t>Plate to Mount ESP32 Board</t>
  </si>
  <si>
    <t>Bracket to hold Power Adapter</t>
  </si>
  <si>
    <t xml:space="preserve">Misc Wires </t>
  </si>
  <si>
    <t>TZMOIK</t>
  </si>
  <si>
    <t>B093LCQQFY</t>
  </si>
  <si>
    <t xml:space="preserve">End Stop wiring </t>
  </si>
  <si>
    <t>‎ B09BJ9DXKT</t>
  </si>
  <si>
    <t>Conable</t>
  </si>
  <si>
    <t>Motor Connector Wire (5ft)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</si>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</sst>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  <xf numFmtId="44" fontId="15" fillId="0" borderId="0" xfId="1" applyFont="1"/>
    <xf numFmtId="0" fontId="0" fillId="12" borderId="0" xfId="0" applyFill="1"/>
    <xf numFmtId="44" fontId="0" fillId="12" borderId="0" xfId="1" applyFont="1" applyFill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vertical="center" wrapText="1"/>
    </xf>
    <xf numFmtId="0" fontId="15" fillId="0" borderId="0" xfId="7" applyBorder="1"/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64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jpg"/><Relationship Id="rId2" Type="http://schemas.openxmlformats.org/officeDocument/2006/relationships/image" Target="../media/image97.jpg"/><Relationship Id="rId1" Type="http://schemas.openxmlformats.org/officeDocument/2006/relationships/image" Target="../media/image102.jpg"/><Relationship Id="rId4" Type="http://schemas.openxmlformats.org/officeDocument/2006/relationships/image" Target="../media/image98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jpg"/><Relationship Id="rId2" Type="http://schemas.openxmlformats.org/officeDocument/2006/relationships/image" Target="../media/image84.jpg"/><Relationship Id="rId1" Type="http://schemas.openxmlformats.org/officeDocument/2006/relationships/image" Target="../media/image103.jpg"/><Relationship Id="rId5" Type="http://schemas.openxmlformats.org/officeDocument/2006/relationships/image" Target="../media/image106.jpg"/><Relationship Id="rId4" Type="http://schemas.openxmlformats.org/officeDocument/2006/relationships/image" Target="../media/image10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g"/><Relationship Id="rId13" Type="http://schemas.openxmlformats.org/officeDocument/2006/relationships/image" Target="../media/image45.jpg"/><Relationship Id="rId18" Type="http://schemas.openxmlformats.org/officeDocument/2006/relationships/image" Target="../media/image50.jpg"/><Relationship Id="rId3" Type="http://schemas.openxmlformats.org/officeDocument/2006/relationships/image" Target="../media/image35.jpg"/><Relationship Id="rId21" Type="http://schemas.openxmlformats.org/officeDocument/2006/relationships/image" Target="../media/image30.jpg"/><Relationship Id="rId7" Type="http://schemas.openxmlformats.org/officeDocument/2006/relationships/image" Target="../media/image39.jpg"/><Relationship Id="rId12" Type="http://schemas.openxmlformats.org/officeDocument/2006/relationships/image" Target="../media/image44.jpg"/><Relationship Id="rId17" Type="http://schemas.openxmlformats.org/officeDocument/2006/relationships/image" Target="../media/image49.jpg"/><Relationship Id="rId2" Type="http://schemas.openxmlformats.org/officeDocument/2006/relationships/image" Target="../media/image34.jpg"/><Relationship Id="rId16" Type="http://schemas.openxmlformats.org/officeDocument/2006/relationships/image" Target="../media/image48.jpg"/><Relationship Id="rId20" Type="http://schemas.openxmlformats.org/officeDocument/2006/relationships/image" Target="../media/image52.jpg"/><Relationship Id="rId1" Type="http://schemas.openxmlformats.org/officeDocument/2006/relationships/image" Target="../media/image33.jpg"/><Relationship Id="rId6" Type="http://schemas.openxmlformats.org/officeDocument/2006/relationships/image" Target="../media/image38.jpg"/><Relationship Id="rId11" Type="http://schemas.openxmlformats.org/officeDocument/2006/relationships/image" Target="../media/image43.jpg"/><Relationship Id="rId5" Type="http://schemas.openxmlformats.org/officeDocument/2006/relationships/image" Target="../media/image37.jpg"/><Relationship Id="rId15" Type="http://schemas.openxmlformats.org/officeDocument/2006/relationships/image" Target="../media/image47.jpg"/><Relationship Id="rId10" Type="http://schemas.openxmlformats.org/officeDocument/2006/relationships/image" Target="../media/image42.jpg"/><Relationship Id="rId19" Type="http://schemas.openxmlformats.org/officeDocument/2006/relationships/image" Target="../media/image51.jpg"/><Relationship Id="rId4" Type="http://schemas.openxmlformats.org/officeDocument/2006/relationships/image" Target="../media/image36.jpg"/><Relationship Id="rId9" Type="http://schemas.openxmlformats.org/officeDocument/2006/relationships/image" Target="../media/image41.jpg"/><Relationship Id="rId14" Type="http://schemas.openxmlformats.org/officeDocument/2006/relationships/image" Target="../media/image4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22.jpg"/><Relationship Id="rId1" Type="http://schemas.openxmlformats.org/officeDocument/2006/relationships/image" Target="../media/image53.jpg"/><Relationship Id="rId6" Type="http://schemas.openxmlformats.org/officeDocument/2006/relationships/image" Target="../media/image56.jpg"/><Relationship Id="rId5" Type="http://schemas.openxmlformats.org/officeDocument/2006/relationships/image" Target="../media/image55.jpg"/><Relationship Id="rId4" Type="http://schemas.openxmlformats.org/officeDocument/2006/relationships/image" Target="../media/image5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13" Type="http://schemas.openxmlformats.org/officeDocument/2006/relationships/image" Target="../media/image67.jpg"/><Relationship Id="rId3" Type="http://schemas.openxmlformats.org/officeDocument/2006/relationships/image" Target="../media/image59.jpg"/><Relationship Id="rId7" Type="http://schemas.openxmlformats.org/officeDocument/2006/relationships/image" Target="../media/image63.jpg"/><Relationship Id="rId12" Type="http://schemas.openxmlformats.org/officeDocument/2006/relationships/image" Target="../media/image66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65.jpg"/><Relationship Id="rId5" Type="http://schemas.openxmlformats.org/officeDocument/2006/relationships/image" Target="../media/image61.jpg"/><Relationship Id="rId10" Type="http://schemas.openxmlformats.org/officeDocument/2006/relationships/image" Target="../media/image64.jpg"/><Relationship Id="rId4" Type="http://schemas.openxmlformats.org/officeDocument/2006/relationships/image" Target="../media/image60.jpg"/><Relationship Id="rId9" Type="http://schemas.openxmlformats.org/officeDocument/2006/relationships/image" Target="../media/image31.jpg"/><Relationship Id="rId14" Type="http://schemas.openxmlformats.org/officeDocument/2006/relationships/image" Target="../media/image26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64.jp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jpg"/><Relationship Id="rId18" Type="http://schemas.openxmlformats.org/officeDocument/2006/relationships/image" Target="../media/image21.jpg"/><Relationship Id="rId26" Type="http://schemas.openxmlformats.org/officeDocument/2006/relationships/image" Target="../media/image31.jpg"/><Relationship Id="rId3" Type="http://schemas.openxmlformats.org/officeDocument/2006/relationships/image" Target="../media/image70.jpg"/><Relationship Id="rId21" Type="http://schemas.openxmlformats.org/officeDocument/2006/relationships/image" Target="../media/image83.jpg"/><Relationship Id="rId7" Type="http://schemas.openxmlformats.org/officeDocument/2006/relationships/image" Target="../media/image72.jpg"/><Relationship Id="rId12" Type="http://schemas.openxmlformats.org/officeDocument/2006/relationships/image" Target="../media/image77.jpg"/><Relationship Id="rId17" Type="http://schemas.openxmlformats.org/officeDocument/2006/relationships/image" Target="../media/image23.jpg"/><Relationship Id="rId25" Type="http://schemas.openxmlformats.org/officeDocument/2006/relationships/image" Target="../media/image87.jpg"/><Relationship Id="rId33" Type="http://schemas.openxmlformats.org/officeDocument/2006/relationships/image" Target="../media/image90.jpg"/><Relationship Id="rId2" Type="http://schemas.openxmlformats.org/officeDocument/2006/relationships/image" Target="../media/image69.jpg"/><Relationship Id="rId16" Type="http://schemas.openxmlformats.org/officeDocument/2006/relationships/image" Target="../media/image81.jpg"/><Relationship Id="rId20" Type="http://schemas.openxmlformats.org/officeDocument/2006/relationships/image" Target="../media/image63.jpg"/><Relationship Id="rId29" Type="http://schemas.openxmlformats.org/officeDocument/2006/relationships/image" Target="../media/image88.jpg"/><Relationship Id="rId1" Type="http://schemas.openxmlformats.org/officeDocument/2006/relationships/image" Target="../media/image68.jpg"/><Relationship Id="rId6" Type="http://schemas.openxmlformats.org/officeDocument/2006/relationships/image" Target="../media/image59.jpg"/><Relationship Id="rId11" Type="http://schemas.openxmlformats.org/officeDocument/2006/relationships/image" Target="../media/image76.jpg"/><Relationship Id="rId24" Type="http://schemas.openxmlformats.org/officeDocument/2006/relationships/image" Target="../media/image86.jpg"/><Relationship Id="rId32" Type="http://schemas.openxmlformats.org/officeDocument/2006/relationships/image" Target="../media/image89.jpg"/><Relationship Id="rId5" Type="http://schemas.openxmlformats.org/officeDocument/2006/relationships/image" Target="../media/image71.jpg"/><Relationship Id="rId15" Type="http://schemas.openxmlformats.org/officeDocument/2006/relationships/image" Target="../media/image80.jpg"/><Relationship Id="rId23" Type="http://schemas.openxmlformats.org/officeDocument/2006/relationships/image" Target="../media/image85.jpg"/><Relationship Id="rId28" Type="http://schemas.openxmlformats.org/officeDocument/2006/relationships/image" Target="../media/image27.jpg"/><Relationship Id="rId10" Type="http://schemas.openxmlformats.org/officeDocument/2006/relationships/image" Target="../media/image75.jpg"/><Relationship Id="rId19" Type="http://schemas.openxmlformats.org/officeDocument/2006/relationships/image" Target="../media/image82.jpg"/><Relationship Id="rId31" Type="http://schemas.openxmlformats.org/officeDocument/2006/relationships/image" Target="../media/image32.jpg"/><Relationship Id="rId4" Type="http://schemas.openxmlformats.org/officeDocument/2006/relationships/image" Target="../media/image3.jpg"/><Relationship Id="rId9" Type="http://schemas.openxmlformats.org/officeDocument/2006/relationships/image" Target="../media/image74.jpg"/><Relationship Id="rId14" Type="http://schemas.openxmlformats.org/officeDocument/2006/relationships/image" Target="../media/image79.jpg"/><Relationship Id="rId22" Type="http://schemas.openxmlformats.org/officeDocument/2006/relationships/image" Target="../media/image84.jpg"/><Relationship Id="rId27" Type="http://schemas.openxmlformats.org/officeDocument/2006/relationships/image" Target="../media/image30.jpg"/><Relationship Id="rId30" Type="http://schemas.openxmlformats.org/officeDocument/2006/relationships/image" Target="../media/image52.jpg"/><Relationship Id="rId8" Type="http://schemas.openxmlformats.org/officeDocument/2006/relationships/image" Target="../media/image73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jpg"/><Relationship Id="rId3" Type="http://schemas.openxmlformats.org/officeDocument/2006/relationships/image" Target="../media/image59.jpg"/><Relationship Id="rId7" Type="http://schemas.openxmlformats.org/officeDocument/2006/relationships/image" Target="../media/image91.jpg"/><Relationship Id="rId12" Type="http://schemas.openxmlformats.org/officeDocument/2006/relationships/image" Target="../media/image32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95.jpg"/><Relationship Id="rId5" Type="http://schemas.openxmlformats.org/officeDocument/2006/relationships/image" Target="../media/image61.jpg"/><Relationship Id="rId10" Type="http://schemas.openxmlformats.org/officeDocument/2006/relationships/image" Target="../media/image94.jpg"/><Relationship Id="rId4" Type="http://schemas.openxmlformats.org/officeDocument/2006/relationships/image" Target="../media/image60.jpg"/><Relationship Id="rId9" Type="http://schemas.openxmlformats.org/officeDocument/2006/relationships/image" Target="../media/image9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g"/><Relationship Id="rId7" Type="http://schemas.openxmlformats.org/officeDocument/2006/relationships/image" Target="../media/image32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88.jpg"/><Relationship Id="rId4" Type="http://schemas.openxmlformats.org/officeDocument/2006/relationships/image" Target="../media/image62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101.jpg"/><Relationship Id="rId4" Type="http://schemas.openxmlformats.org/officeDocument/2006/relationships/image" Target="../media/image1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44545-FC95-4BA8-9580-85ACF0C5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F2F8B-5835-4158-B185-09E6BAB7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2E3BEE-C3B6-45E0-8FE1-F7FF64AA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F5D536-E445-4FC2-8534-F249E244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74D290-1561-4E89-AD47-BB7043D2B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B1A6B-7FA0-4DB4-83D0-038640A3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0D88C7-D474-4008-8AB1-A6D0CC8AB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56D1A1-7DD1-4EF5-BE87-B9AD81E3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60E962-9DF1-4698-93D8-38EE9470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0092A-F1D4-492C-9D14-3B0F41F4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2942-0BD0-4B73-BEA1-2A64B225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D6DFBE-F4DF-4BD9-9FAD-A38A7D42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91BD29-10F5-4AFD-866D-EA95A69D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AD0A76-F318-4FF0-90D9-D75941EC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C787D-A958-4AD7-B92C-5CCEE609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2DC5AE-8A7B-4AFA-8F20-817D85CE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147E8E-3831-406D-A9AD-061A39B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D6B745-330E-4DE5-91E8-3E881B99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1E6C73-C993-48C7-B2CC-45E19A5D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83BC66-92A1-44C8-AF4C-77DFFE8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F32E1BE-59A5-4F51-A812-96AA1970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3BE381-A272-45ED-ABF8-8118C766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3576B6E-341D-44C0-8C04-85B2030E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E34BFC-B635-4747-9C87-EAFD8072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2BF906-C1DB-4E28-8D99-21EA1641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A1B686-5A7F-4CD4-A513-575250CE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85F554-3AB1-42A4-B9B1-2E430D6F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928E10-E804-4A0E-B841-96990AC84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A9948D-7507-4B74-91DC-E4BE9B7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862867-CA30-4113-ACCF-8C3EEC0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E70E8F5-8996-44CA-B6CC-29E531B3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8ADC894-FA17-4257-96D0-B420C058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8DB089-B454-4477-BD82-D6BB7CAB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FC168-E722-4DDE-AD21-95BFF71A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F9048-6266-4CBF-BEFC-1D995E40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45D623-0F5C-45FA-987D-06BD01F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05E44-3618-4269-84D3-71C22A8D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BFEEA0-BFD7-4C8D-A806-9C433D5E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11FC31-CA62-44B9-BD29-A483E72E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1FBEA9-0021-42A6-94BA-95DA4967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5621F4-C45F-47C2-8CC0-D4D42C97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B4148E-9FB0-417B-A394-7319853A9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4764FA8-448D-4659-A400-B0C0E0E8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1246EA-CCC9-4B91-AF60-39BB47B5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8DF38A-0633-4A4A-89E2-4E404303E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C598C3-B1C1-469C-96DC-D82D3414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74BC2F-6212-4A95-89A4-4FAFB0EC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D0E839-ECA7-455D-BA43-A13A3615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1B21F77-038D-4ABA-BFEA-F39BEC22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692EB1-A1DA-487C-90DC-3BB0D40A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84BBE85-E8E7-4BDA-B274-C0AE4303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30925F-CA8C-4F00-BD22-C9E8745D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57D60B-6422-4C61-9A85-074BA25C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5DCC22-32D2-4B09-B8E2-9F5DFA2E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069BC7-1EB4-45BF-B240-DED4ED28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C0D14CD-3F37-4FF9-8D11-763CB95B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373482-7720-46EF-8C45-7C3EF277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40D3C2-7A21-44C8-B481-E8082CF1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609166-FE58-4D74-A66C-A8E32BF0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AD6B35-F45E-4E93-ADBB-E47F2FB2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7D8AF-68B4-44D8-A2CC-F9AEC2C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51C8C3-4775-40F3-9FC8-0E1ABD9E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3C755A-47C2-4F65-BAA0-BD6CD4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C3E6AA-AA3F-436C-91F3-BAC17C3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39BADC-DD9D-4027-9489-27D19BE1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31504-C6DD-4238-AA43-2F35706B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F1A69A-E78E-416C-90C4-A3900635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8B2CA1-9570-427B-9153-A2160BE2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D65277-966C-4D86-AC39-243D680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81E37-1668-41EA-B1A2-FAD91094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4364A-750D-4FA8-AFBD-F094D4AD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6165C2-B897-4C59-A8A6-761EEBF2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3244B-7546-4FB4-BDAF-E3AF57DA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4E582-809E-49EF-841F-760FED8E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787460-5FBA-435A-A482-C3D0751A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DA88EE-EB79-4213-BBE2-7400B7F7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7D6A71-92B0-4ABA-B1E7-ABFB0F571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9CDA7-A994-41A4-9290-FFE4BFE8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73D5EE-A699-4A68-82FE-3160664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280C70-C0C9-4EBF-A2DC-2CA5A474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05D23B-6B65-4AAA-89A2-016A1757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3E0B6-CA51-4617-9F73-6FAA80A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5EB992-63BD-4CFA-89F2-B505EE11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3A712-0662-45CD-846F-2073043D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076F5-9D0C-4C2C-9599-5CEC819B3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FF793-6D1F-49F5-8185-2915AFC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6418CA-5205-49AE-9F9C-7D45E618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5499ED-F7B4-47F9-8D89-C824BC3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5F0990-6A26-4092-8249-F33109479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0EDDF8-1BFB-4AAA-AB62-5B7A3B2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F62B59-DDE0-4142-852A-76BB9FEE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FF10C-0BB2-4011-8ECA-6E79EE7A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F18DC00-BB38-4667-ADDE-7E0B79D8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592300-4F5C-4F58-85EA-2600567E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91E8CF-C1A6-4E7C-B1E6-46AC2BF1A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2413C3-D90D-49CA-9E1D-5659C7A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8B07DE7-103D-432C-BFAA-19D2D0E3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BD0B0-9341-4FDF-816F-1E4D9E8BE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117612-C47B-4564-AF13-60128DFF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1724025</xdr:colOff>
      <xdr:row>34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2FE6D49-CBA3-4EF0-97C3-1311D954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228725" y="27936825"/>
          <a:ext cx="876300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DF4CF-49BB-45E4-B4F2-B639CED3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C07B75-BEFF-44AA-9838-891A13FB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FD7887-826F-4197-9E3B-C9EF95CD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F47C48-5922-4E56-BE65-4707BD01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580D59-80CF-4A9E-B63E-0CAE3856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CF1480-40ED-47ED-B2B3-C61E964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63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62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97874C-7453-4A6F-A610-8F4D8D47EB3F}" name="RBA_47891151213" displayName="RBA_47891151213" ref="A2:K35" totalsRowShown="0" headerRowDxfId="13" tableBorderDxfId="12">
  <autoFilter ref="A2:K35" xr:uid="{AEB73607-C281-450A-B481-305282F70C69}"/>
  <tableColumns count="11">
    <tableColumn id="1" xr3:uid="{7AFE4DA7-458C-4B5D-9F3E-7B2FC1AC1F30}" name="Part Number - Assembly" dataDxfId="11"/>
    <tableColumn id="2" xr3:uid="{D09B2BF6-3EEA-49BD-A815-693278D52D4E}" name="Thumbnail"/>
    <tableColumn id="3" xr3:uid="{D220CA10-E01E-4F84-B86E-AAD6D96BE7A6}" name="Quantity" dataDxfId="10"/>
    <tableColumn id="4" xr3:uid="{EBBFBA49-83B8-4467-B584-F209D45D0777}" name="Vendor"/>
    <tableColumn id="5" xr3:uid="{F66B6064-99C8-4A8B-BBE9-3358FCC8A0D7}" name="Vendor Link">
      <calculatedColumnFormula>HYPERLINK("https://8020.net/20-2040.html", "20-2040")</calculatedColumnFormula>
    </tableColumn>
    <tableColumn id="8" xr3:uid="{DF84A1FF-16CC-4D3C-8626-363C794C0911}" name="Unit Price" dataCellStyle="Currency"/>
    <tableColumn id="9" xr3:uid="{65648BEE-77DD-4D42-B639-6FFFD268AF96}" name="Extended Price" dataCellStyle="Currency">
      <calculatedColumnFormula>RBA_47891151213[[#This Row],[Unit Price]]*RBA_47891151213[[#This Row],[Quantity]]</calculatedColumnFormula>
    </tableColumn>
    <tableColumn id="12" xr3:uid="{B23B2726-0613-444C-83C6-160616321B7C}" name="Description"/>
    <tableColumn id="16" xr3:uid="{2C126F60-921E-4CDC-9256-9570FC692729}" name="Comments"/>
    <tableColumn id="6" xr3:uid="{091EC87E-7971-478C-A108-1D714813D8A4}" name="Alternative Vendor"/>
    <tableColumn id="7" xr3:uid="{6D405A3A-B1BF-4651-BDE5-DD392243CD7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9" tableBorderDxfId="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7" tableBorderDxfId="6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23F2F7-67C2-4498-BB0E-5EA323EB74BF}" name="RBA_47815" displayName="RBA_47815" ref="A2:K21" totalsRowShown="0" headerRowDxfId="5" tableBorderDxfId="4">
  <autoFilter ref="A2:K21" xr:uid="{AEB73607-C281-450A-B481-305282F70C69}"/>
  <tableColumns count="11">
    <tableColumn id="1" xr3:uid="{CA99BB82-BB66-4ED2-A867-6C992B1C1571}" name="Part Number - Assembly"/>
    <tableColumn id="2" xr3:uid="{D046ACCB-9954-4830-B1CE-1974B3B5F8C3}" name="Thumbnail"/>
    <tableColumn id="3" xr3:uid="{A4674A13-98C8-4A34-8CA4-123D51E6A15B}" name="Quantity"/>
    <tableColumn id="4" xr3:uid="{FF69DF56-9C98-40D1-BCBF-E238E7141CD4}" name="Vendor"/>
    <tableColumn id="5" xr3:uid="{73877A5F-3DA0-43F9-AF93-0725ABB27337}" name="Vendor Link">
      <calculatedColumnFormula>HYPERLINK("https://8020.net/20-2040.html", "20-2040")</calculatedColumnFormula>
    </tableColumn>
    <tableColumn id="8" xr3:uid="{86DADC17-BC6F-4D1A-AF3C-D022592290C3}" name="Unit Price" dataCellStyle="Currency"/>
    <tableColumn id="9" xr3:uid="{640E960F-8871-4333-BF8D-618BAF530B8A}" name="Extended Price" dataCellStyle="Currency">
      <calculatedColumnFormula>RBA_47815[[#This Row],[Unit Price]]*RBA_47815[[#This Row],[Quantity]]</calculatedColumnFormula>
    </tableColumn>
    <tableColumn id="12" xr3:uid="{80809820-AD1F-4C07-A588-4897F31B4FEA}" name="Description"/>
    <tableColumn id="16" xr3:uid="{C0211A74-6293-4A28-9C5D-FFB7D2B62CD8}" name="Comments"/>
    <tableColumn id="6" xr3:uid="{61C8222B-0F09-4F35-BFE9-92F4075D1F6E}" name="Alternative Vendor"/>
    <tableColumn id="7" xr3:uid="{60A621E2-732E-4F1F-884F-80968CFB7A7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3" tableBorderDxfId="2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" tableBorderDxfId="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P23" totalsRowShown="0" headerRowDxfId="61">
  <autoFilter ref="A2:P23" xr:uid="{4CC865C4-70F4-4E79-B894-F6854082DA6C}"/>
  <tableColumns count="16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  <tableColumn id="16" xr3:uid="{4A52EDC3-41A1-4FBB-9FB5-933DECF5991F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60" dataDxfId="59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58" dataCellStyle="Normal 2"/>
    <tableColumn id="2" xr3:uid="{6B59215C-904B-43A0-9B4A-AB0E67299905}" name="Manufacturer" dataDxfId="57" dataCellStyle="Normal 2"/>
    <tableColumn id="3" xr3:uid="{DD20B8A8-53CD-4A48-AEE1-70BA807C8EEA}" name="Digi-Key Part Number" dataDxfId="56" dataCellStyle="Normal 2"/>
    <tableColumn id="4" xr3:uid="{D6FF6B24-3A2F-4CC8-A2BF-EC9E5C63F221}" name="Customer Reference" dataDxfId="55" dataCellStyle="Normal 2"/>
    <tableColumn id="6" xr3:uid="{00154DED-35B4-4DC6-A5CA-366FDF6CF4A8}" name="Packaging" dataDxfId="54" dataCellStyle="Normal 2"/>
    <tableColumn id="7" xr3:uid="{7510C95A-484A-4DC4-9287-E7E4048CE55F}" name="Part Status" dataDxfId="53" dataCellStyle="Normal 2"/>
    <tableColumn id="8" xr3:uid="{86130162-85F0-4EF0-90A3-60A56AACDF7B}" name="Quantity" dataDxfId="52" dataCellStyle="Normal 2"/>
    <tableColumn id="9" xr3:uid="{A253EF67-AEDC-4815-89E7-BF69910B09B6}" name="Unit Price" dataDxfId="51" dataCellStyle="Normal 2"/>
    <tableColumn id="10" xr3:uid="{92B290F7-25C2-4F72-A522-FCE1AA821946}" name="Extended Price" dataDxfId="50" dataCellStyle="Currency"/>
    <tableColumn id="11" xr3:uid="{513AEB4C-DFAB-4E29-92B7-65C904FF7D01}" name="Quantity Available" dataDxfId="49" dataCellStyle="Normal 2"/>
    <tableColumn id="12" xr3:uid="{69413C94-7AF0-479A-AEDD-64F66D6F47DE}" name="Mfg Std Lead Time" dataDxfId="48" dataCellStyle="Normal 2"/>
    <tableColumn id="13" xr3:uid="{7240CA0E-359D-4DB8-8A48-E5A9E8C25292}" name="Description" dataDxfId="47" dataCellStyle="Normal 2"/>
    <tableColumn id="14" xr3:uid="{83DDBE5C-9AB8-432E-B6EC-0900714F0852}" name="RoHS Status" dataDxfId="46" dataCellStyle="Normal 2"/>
    <tableColumn id="15" xr3:uid="{E5A739E3-772E-4109-84A6-8264447B7682}" name="Lead Free Status" dataDxfId="45" dataCellStyle="Normal 2"/>
    <tableColumn id="16" xr3:uid="{4317AFA4-A1A2-480B-9930-78E13685E7A5}" name="REACH Status" dataDxfId="44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59" totalsRowShown="0" headerRowDxfId="43" dataDxfId="42" tableBorderDxfId="41" headerRowCellStyle="Normal 2">
  <autoFilter ref="A54:O59" xr:uid="{E5775DE7-B0D6-434B-9E81-8E797CB33C8F}"/>
  <tableColumns count="15">
    <tableColumn id="1" xr3:uid="{20A9B34A-0BDE-406C-9284-42396D12E1E8}" name="Manufacturer Part Number" dataDxfId="40"/>
    <tableColumn id="2" xr3:uid="{370D2A53-7D06-4073-A070-AAD23FF99906}" name="Manufacturer" dataDxfId="39"/>
    <tableColumn id="3" xr3:uid="{C2834F26-8D66-4C19-8B65-AAA5D1688301}" name="Link" dataDxfId="38"/>
    <tableColumn id="4" xr3:uid="{FB6416D0-BFFD-46A4-B485-8DCAF43A11AB}" name="Customer Reference" dataDxfId="37"/>
    <tableColumn id="5" xr3:uid="{56A695A0-C403-4B74-B146-F0D3B63EA053}" name="Packaging" dataDxfId="36"/>
    <tableColumn id="6" xr3:uid="{20E6FA99-F191-48F9-ACD1-BC6CF10711CE}" name="Part Status" dataDxfId="35"/>
    <tableColumn id="7" xr3:uid="{35B7773A-8FD8-428B-873D-343086AC7F9A}" name="Quantity" dataDxfId="34"/>
    <tableColumn id="8" xr3:uid="{7E0C5B7A-E6F5-442F-8138-B9CC70588614}" name="Unit Price" dataDxfId="33" dataCellStyle="Currency"/>
    <tableColumn id="9" xr3:uid="{AC6F2354-427F-4590-BBC4-C2CCD5E5D76F}" name="Extended Price" dataDxfId="32" dataCellStyle="Currency"/>
    <tableColumn id="10" xr3:uid="{9CB6BCD3-C29A-4EEB-8E62-7BD5605AC29E}" name="Quantity Available" dataDxfId="31"/>
    <tableColumn id="11" xr3:uid="{B7AA4FE9-D5A6-41AB-8B53-DEDADD7AB2C1}" name="Mfg Std Lead Time" dataDxfId="30"/>
    <tableColumn id="12" xr3:uid="{08002C5C-4042-403A-B796-9C757374529C}" name="Description" dataDxfId="29"/>
    <tableColumn id="13" xr3:uid="{C1F04F0D-0F9F-4D6E-B682-02A8FAA992EC}" name="RoHS Status" dataDxfId="28"/>
    <tableColumn id="14" xr3:uid="{DACC60B8-D45B-4197-BD16-E6A586A16303}" name="Lead Free Status" dataDxfId="27"/>
    <tableColumn id="15" xr3:uid="{068DA1C5-D89C-4B2F-A7BC-588FDBF44AE5}" name="REACH Status" dataDxfId="2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35" totalsRowShown="0" headerRowDxfId="25" tableBorderDxfId="24">
  <autoFilter ref="A2:K35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25081B-F596-441A-B7D7-B2545F85C26A}" name="RBA_47816" displayName="RBA_47816" ref="A2:K23" totalsRowShown="0" headerRowDxfId="23" tableBorderDxfId="22">
  <autoFilter ref="A2:K23" xr:uid="{AEB73607-C281-450A-B481-305282F70C69}"/>
  <tableColumns count="11">
    <tableColumn id="1" xr3:uid="{9EAF2B20-D6AC-4F9A-8E78-132DF715467C}" name="Part Number - Assembly" dataDxfId="21"/>
    <tableColumn id="2" xr3:uid="{EB443697-152E-4F70-A2A0-8273888F1490}" name="Thumbnail"/>
    <tableColumn id="3" xr3:uid="{5DBB9DB6-E618-475C-9C52-7AF33214A21C}" name="Quantity" dataDxfId="20"/>
    <tableColumn id="4" xr3:uid="{0C044D75-7433-413C-97D5-717D6C270EEA}" name="Vendor"/>
    <tableColumn id="5" xr3:uid="{B0D37B4D-9649-4597-9482-8F85281F68E0}" name="Vendor Link">
      <calculatedColumnFormula>HYPERLINK("https://8020.net/20-2040.html", "20-2040")</calculatedColumnFormula>
    </tableColumn>
    <tableColumn id="8" xr3:uid="{9B1F7DA3-464C-49E0-9953-BD51FCEFC195}" name="Unit Price" dataCellStyle="Currency"/>
    <tableColumn id="9" xr3:uid="{30B684D1-A350-438D-974B-B87094D99B43}" name="Extended Price" dataCellStyle="Currency">
      <calculatedColumnFormula>RBA_47816[[#This Row],[Unit Price]]*RBA_47816[[#This Row],[Quantity]]</calculatedColumnFormula>
    </tableColumn>
    <tableColumn id="12" xr3:uid="{D2F81D07-C88C-4F65-87D4-9C6419D50FC9}" name="Description"/>
    <tableColumn id="16" xr3:uid="{05D8F828-BDB8-4A0B-B1AE-74F49932D77B}" name="Comments"/>
    <tableColumn id="6" xr3:uid="{D7C9A8B2-432D-43C1-907D-1B8273A9832F}" name="Alternative Vendor"/>
    <tableColumn id="7" xr3:uid="{7453B8B8-662C-421F-B848-EC6E87E78D1F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5B78D-F75B-4ADB-AD4F-10833E759F0D}" name="RBA_4789115" displayName="RBA_4789115" ref="A2:K21" totalsRowShown="0" headerRowDxfId="19" tableBorderDxfId="18">
  <autoFilter ref="A2:K21" xr:uid="{AEB73607-C281-450A-B481-305282F70C69}"/>
  <tableColumns count="11">
    <tableColumn id="1" xr3:uid="{96A5D40A-13D5-47DE-BB1C-E84B57C35604}" name="Part Number - Assembly"/>
    <tableColumn id="2" xr3:uid="{8ED3EDB3-1DAE-4D0B-8C03-86CACD717E76}" name="Thumbnail"/>
    <tableColumn id="3" xr3:uid="{85247056-C024-4B49-A7D5-1A65E41681DF}" name="Quantity"/>
    <tableColumn id="4" xr3:uid="{D5E18CBD-E557-4C4C-B272-6100BCC19DD9}" name="Vendor"/>
    <tableColumn id="5" xr3:uid="{79F731A8-B266-4C17-A5E3-CDF615D29158}" name="Vendor Link">
      <calculatedColumnFormula>HYPERLINK("https://8020.net/20-2040.html", "20-2040")</calculatedColumnFormula>
    </tableColumn>
    <tableColumn id="8" xr3:uid="{DE8F75DD-49B9-45FB-AE9E-7ED6750EBD3F}" name="Unit Price" dataCellStyle="Currency"/>
    <tableColumn id="9" xr3:uid="{E1581898-C2E5-49D9-93BD-712CF3782AFE}" name="Extended Price" dataCellStyle="Currency">
      <calculatedColumnFormula>RBA_4789115[[#This Row],[Unit Price]]*RBA_4789115[[#This Row],[Quantity]]</calculatedColumnFormula>
    </tableColumn>
    <tableColumn id="12" xr3:uid="{D9F20137-D873-4815-BDF4-014FFBE5450E}" name="Description"/>
    <tableColumn id="16" xr3:uid="{C7EA4492-ED23-42F7-A66D-5185C6041D5C}" name="Comments"/>
    <tableColumn id="6" xr3:uid="{A2281AA0-E923-4F56-A4A2-B90917E3FDCA}" name="Alternative Vendor"/>
    <tableColumn id="7" xr3:uid="{82A76561-CC88-4C0F-BDD2-1038450E37D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17" tableBorderDxfId="16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698A-0D3D-4C41-B020-0B1752F956DC}" name="RBA_478911512" displayName="RBA_478911512" ref="A2:K21" totalsRowShown="0" headerRowDxfId="15" tableBorderDxfId="14">
  <autoFilter ref="A2:K21" xr:uid="{AEB73607-C281-450A-B481-305282F70C69}"/>
  <tableColumns count="11">
    <tableColumn id="1" xr3:uid="{62957102-9908-4A5A-871C-4E9FF0EE8FEA}" name="Part Number - Assembly"/>
    <tableColumn id="2" xr3:uid="{CD80CE38-21A5-453D-8B85-991C567890D7}" name="Thumbnail"/>
    <tableColumn id="3" xr3:uid="{7FA91544-64C1-4E19-8CF0-E72B9B5FCFFC}" name="Quantity"/>
    <tableColumn id="4" xr3:uid="{4B21993D-BFF4-4E0C-A494-7C62608DD45C}" name="Vendor"/>
    <tableColumn id="5" xr3:uid="{214EA2C1-D054-4D3C-BEB6-C33ED622881F}" name="Vendor Link">
      <calculatedColumnFormula>HYPERLINK("https://8020.net/20-2040.html", "20-2040")</calculatedColumnFormula>
    </tableColumn>
    <tableColumn id="8" xr3:uid="{7BB4C907-E9CB-4DAC-AE97-7FF90C46C7F5}" name="Unit Price" dataCellStyle="Currency"/>
    <tableColumn id="9" xr3:uid="{E643430F-75EB-439C-8B16-C8FE5DEBD8E5}" name="Extended Price" dataCellStyle="Currency">
      <calculatedColumnFormula>RBA_478911512[[#This Row],[Unit Price]]*RBA_478911512[[#This Row],[Quantity]]</calculatedColumnFormula>
    </tableColumn>
    <tableColumn id="12" xr3:uid="{6F67E3A8-C29B-47F6-80BE-842828E3C2D9}" name="Description"/>
    <tableColumn id="16" xr3:uid="{42EAB9A2-76A8-4C9B-80C1-CE964487A54C}" name="Comments"/>
    <tableColumn id="6" xr3:uid="{C5C92A0A-5E82-4E8B-8E58-B74553ACA743}" name="Alternative Vendor"/>
    <tableColumn id="7" xr3:uid="{67448936-178B-4A04-AD8A-1ED3150735E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tabSelected="1" workbookViewId="0">
      <selection activeCell="L2" sqref="L2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7" t="s">
        <v>215</v>
      </c>
      <c r="B1" s="37"/>
      <c r="C1" s="37"/>
      <c r="D1" s="37"/>
      <c r="E1" s="37"/>
      <c r="F1" s="37"/>
      <c r="G1" s="37"/>
      <c r="H1" s="37"/>
    </row>
    <row r="2" spans="1:18" ht="23.25">
      <c r="A2" s="18" t="s">
        <v>0</v>
      </c>
      <c r="B2" s="19" t="s">
        <v>211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216</v>
      </c>
      <c r="K2" s="26" t="s">
        <v>203</v>
      </c>
      <c r="L2" s="27">
        <f>SUM(Table13[Extended Price])</f>
        <v>1427.5333625459321</v>
      </c>
    </row>
    <row r="3" spans="1:18">
      <c r="C3" t="s">
        <v>208</v>
      </c>
      <c r="D3">
        <v>2</v>
      </c>
      <c r="E3" s="7">
        <f>'Mechanical - Rail_AssemblyV2_0'!L3</f>
        <v>448.24980960629921</v>
      </c>
      <c r="F3" s="7">
        <f>Table13[[#This Row],[Unit Price]]*Table13[[#This Row],[Quantity]]</f>
        <v>896.49961921259842</v>
      </c>
    </row>
    <row r="4" spans="1:18" ht="18" thickBot="1">
      <c r="C4" t="s">
        <v>214</v>
      </c>
      <c r="D4">
        <v>1</v>
      </c>
      <c r="E4" s="7">
        <f>'Mechanical - Top_Rail_Full'!L3</f>
        <v>261.02616</v>
      </c>
      <c r="F4" s="7">
        <f>Table13[[#This Row],[Unit Price]]*Table13[[#This Row],[Quantity]]</f>
        <v>261.02616</v>
      </c>
      <c r="K4" s="29" t="s">
        <v>225</v>
      </c>
      <c r="L4" s="29"/>
    </row>
    <row r="5" spans="1:18" ht="27" thickTop="1">
      <c r="C5" t="s">
        <v>431</v>
      </c>
      <c r="D5">
        <v>1</v>
      </c>
      <c r="E5" s="7">
        <f>'Mechanical - Ebox_Assy'!L3</f>
        <v>216.04758333333342</v>
      </c>
      <c r="F5" s="7">
        <f>Table13[[#This Row],[Unit Price]]*Table13[[#This Row],[Quantity]]</f>
        <v>216.04758333333342</v>
      </c>
      <c r="K5" s="38" t="s">
        <v>220</v>
      </c>
      <c r="L5" s="38"/>
      <c r="M5" s="38" t="s">
        <v>221</v>
      </c>
      <c r="N5" s="38"/>
      <c r="P5" s="28" t="s">
        <v>223</v>
      </c>
      <c r="R5" t="s">
        <v>224</v>
      </c>
    </row>
    <row r="6" spans="1:18">
      <c r="C6" t="s">
        <v>435</v>
      </c>
      <c r="D6">
        <v>1</v>
      </c>
      <c r="E6" s="44">
        <f>'Electrical '!I60</f>
        <v>53.96</v>
      </c>
      <c r="F6" s="7">
        <f>Table13[[#This Row],[Unit Price]]*Table13[[#This Row],[Quantity]]</f>
        <v>53.96</v>
      </c>
      <c r="K6" s="23" t="s">
        <v>217</v>
      </c>
      <c r="L6" s="24">
        <v>1.5</v>
      </c>
      <c r="M6" s="23" t="s">
        <v>217</v>
      </c>
      <c r="N6" s="24">
        <f>L6</f>
        <v>1.5</v>
      </c>
      <c r="P6" s="23" t="s">
        <v>217</v>
      </c>
      <c r="Q6">
        <f>N6*(N9+1)</f>
        <v>1.5</v>
      </c>
      <c r="R6">
        <f>Q6*3.28084</f>
        <v>4.9212600000000002</v>
      </c>
    </row>
    <row r="7" spans="1:18">
      <c r="E7" s="44"/>
      <c r="K7" s="23" t="s">
        <v>218</v>
      </c>
      <c r="L7" s="24">
        <v>2</v>
      </c>
      <c r="M7" s="23" t="s">
        <v>218</v>
      </c>
      <c r="N7" s="24">
        <f t="shared" ref="N7:N8" si="0">L7</f>
        <v>2</v>
      </c>
      <c r="P7" s="23" t="s">
        <v>218</v>
      </c>
      <c r="Q7">
        <f>N7*(N9+1)</f>
        <v>2</v>
      </c>
      <c r="R7">
        <f>Q7*3.28084</f>
        <v>6.56168</v>
      </c>
    </row>
    <row r="8" spans="1:18">
      <c r="E8" s="44"/>
      <c r="K8" s="23" t="s">
        <v>219</v>
      </c>
      <c r="L8" s="24">
        <v>2</v>
      </c>
      <c r="M8" s="23" t="s">
        <v>219</v>
      </c>
      <c r="N8" s="24">
        <f t="shared" si="0"/>
        <v>2</v>
      </c>
      <c r="P8" s="23" t="s">
        <v>219</v>
      </c>
      <c r="Q8">
        <f>N8*(N9+1)</f>
        <v>2</v>
      </c>
      <c r="R8">
        <f>Q8*3.28084</f>
        <v>6.56168</v>
      </c>
    </row>
    <row r="9" spans="1:18">
      <c r="E9" s="7"/>
      <c r="F9" s="7"/>
      <c r="M9" s="25" t="s">
        <v>222</v>
      </c>
      <c r="N9">
        <v>0</v>
      </c>
    </row>
  </sheetData>
  <mergeCells count="3">
    <mergeCell ref="A1:H1"/>
    <mergeCell ref="K5:L5"/>
    <mergeCell ref="M5:N5"/>
  </mergeCells>
  <conditionalFormatting sqref="E3:E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 F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 E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A10" sqref="A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286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3" t="s">
        <v>279</v>
      </c>
      <c r="C3" s="33">
        <v>1</v>
      </c>
      <c r="D3" t="s">
        <v>212</v>
      </c>
      <c r="E3" s="31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287</v>
      </c>
      <c r="I3" t="s">
        <v>246</v>
      </c>
      <c r="J3" t="s">
        <v>212</v>
      </c>
      <c r="K3" s="31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7.3609699999999991</v>
      </c>
    </row>
    <row r="4" spans="1:32" ht="50.1" customHeight="1">
      <c r="A4" s="33" t="s">
        <v>251</v>
      </c>
      <c r="C4" s="30">
        <v>4</v>
      </c>
      <c r="D4" t="s">
        <v>212</v>
      </c>
      <c r="E4" s="31" t="str">
        <f>HYPERLINK("https://amzn.to/3pcU6xT", "Amazon")</f>
        <v>Amazon</v>
      </c>
      <c r="F4" s="5">
        <f>15.99/20</f>
        <v>0.79949999999999999</v>
      </c>
      <c r="G4" s="5">
        <f>RBA_478[[#This Row],[Unit Price]]*RBA_478[[#This Row],[Quantity]]</f>
        <v>3.198</v>
      </c>
      <c r="H4" t="s">
        <v>259</v>
      </c>
      <c r="K4" s="31"/>
    </row>
    <row r="5" spans="1:32" ht="50.1" customHeight="1">
      <c r="A5" s="33" t="s">
        <v>280</v>
      </c>
      <c r="C5" s="33">
        <v>2</v>
      </c>
      <c r="D5" t="s">
        <v>212</v>
      </c>
      <c r="E5" s="31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283</v>
      </c>
      <c r="I5" t="s">
        <v>210</v>
      </c>
      <c r="K5" s="31"/>
    </row>
    <row r="6" spans="1:32" ht="50.1" customHeight="1">
      <c r="A6" s="33" t="s">
        <v>236</v>
      </c>
      <c r="C6" s="33">
        <v>1</v>
      </c>
      <c r="D6" t="s">
        <v>271</v>
      </c>
      <c r="E6" s="31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270</v>
      </c>
      <c r="K6" s="31" t="str">
        <f t="shared" ref="K6" si="0">HYPERLINK("", "Amazon")</f>
        <v>Amazon</v>
      </c>
    </row>
    <row r="7" spans="1:32" ht="50.1" customHeight="1">
      <c r="A7" s="33" t="s">
        <v>281</v>
      </c>
      <c r="C7" s="33">
        <v>2</v>
      </c>
      <c r="D7" t="s">
        <v>257</v>
      </c>
      <c r="E7" s="31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284</v>
      </c>
      <c r="I7" t="s">
        <v>269</v>
      </c>
      <c r="K7" s="31" t="str">
        <f>HYPERLINK("https://amzn.to/3I2Pemt", "Amazon")</f>
        <v>Amazon</v>
      </c>
    </row>
    <row r="8" spans="1:32" ht="50.1" customHeight="1">
      <c r="A8" s="33" t="s">
        <v>282</v>
      </c>
      <c r="C8" s="33">
        <v>4</v>
      </c>
      <c r="D8" t="s">
        <v>257</v>
      </c>
      <c r="E8" s="31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285</v>
      </c>
      <c r="I8" t="s">
        <v>269</v>
      </c>
      <c r="K8" s="31" t="str">
        <f>HYPERLINK("https://amzn.to/3sVaTGL", "Amazon")</f>
        <v>Amazon</v>
      </c>
    </row>
    <row r="9" spans="1:32" ht="50.1" customHeight="1">
      <c r="A9" s="33" t="s">
        <v>256</v>
      </c>
      <c r="C9" s="33">
        <v>2</v>
      </c>
      <c r="D9" t="s">
        <v>257</v>
      </c>
      <c r="E9" s="31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263</v>
      </c>
      <c r="I9" t="s">
        <v>269</v>
      </c>
      <c r="K9" s="31" t="str">
        <f>HYPERLINK("https://amzn.to/3v5pm5K", "Amazon")</f>
        <v>Amazon</v>
      </c>
    </row>
    <row r="10" spans="1:32" ht="50.1" customHeight="1">
      <c r="A10" s="33"/>
      <c r="C10" s="33"/>
      <c r="E10" s="31"/>
      <c r="F10" s="5"/>
      <c r="G10" s="5"/>
      <c r="K10" s="31"/>
    </row>
    <row r="11" spans="1:32" ht="50.1" customHeight="1">
      <c r="A11" s="33"/>
      <c r="C11" s="33"/>
      <c r="E11" s="31"/>
      <c r="F11" s="5"/>
      <c r="G11" s="5"/>
      <c r="K11" s="31"/>
    </row>
    <row r="12" spans="1:32" ht="50.1" customHeight="1">
      <c r="A12" s="33"/>
      <c r="C12" s="33"/>
      <c r="E12" s="31"/>
      <c r="F12" s="5"/>
      <c r="G12" s="5"/>
      <c r="K12" s="31"/>
    </row>
    <row r="13" spans="1:32" ht="50.1" customHeight="1">
      <c r="A13" s="33"/>
      <c r="C13" s="33"/>
      <c r="E13" s="31"/>
      <c r="F13" s="5"/>
      <c r="G13" s="5"/>
      <c r="K13" s="31"/>
    </row>
    <row r="14" spans="1:32" ht="50.1" customHeight="1">
      <c r="A14" s="33"/>
      <c r="C14" s="33"/>
      <c r="E14" s="31"/>
      <c r="F14" s="5"/>
      <c r="G14" s="5"/>
      <c r="K14" s="31"/>
    </row>
    <row r="15" spans="1:32" ht="50.1" customHeight="1">
      <c r="A15" s="33"/>
      <c r="C15" s="33"/>
      <c r="E15" s="31"/>
      <c r="F15" s="5"/>
      <c r="G15" s="5"/>
      <c r="K15" s="31"/>
    </row>
    <row r="16" spans="1:32" ht="50.1" customHeight="1">
      <c r="A16" s="33"/>
      <c r="C16" s="33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/>
      <c r="B22" s="39"/>
      <c r="C22" s="39"/>
      <c r="D22" s="39"/>
      <c r="E22" s="39"/>
      <c r="F22" s="39"/>
      <c r="G22" s="39"/>
      <c r="H22" s="39"/>
      <c r="I22" s="5"/>
    </row>
  </sheetData>
  <mergeCells count="2">
    <mergeCell ref="A1:O1"/>
    <mergeCell ref="A22:H22"/>
  </mergeCells>
  <conditionalFormatting sqref="G18:G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23AA-A26F-4100-BA01-76F4BB73F917}">
  <dimension ref="A1:AF22"/>
  <sheetViews>
    <sheetView workbookViewId="0">
      <selection activeCell="D4" sqref="D4:F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402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279</v>
      </c>
      <c r="C3" s="30">
        <v>1</v>
      </c>
      <c r="D3" t="s">
        <v>212</v>
      </c>
      <c r="E3" s="31" t="str">
        <f>HYPERLINK("https://amzn.to/3p4Z7Zp", "PETG")</f>
        <v>PETG</v>
      </c>
      <c r="F3" s="5">
        <f>0.01899*27</f>
        <v>0.51273000000000002</v>
      </c>
      <c r="G3" s="5">
        <f>RBA_47815[[#This Row],[Unit Price]]*RBA_47815[[#This Row],[Quantity]]</f>
        <v>0.51273000000000002</v>
      </c>
      <c r="H3" t="s">
        <v>287</v>
      </c>
      <c r="K3" s="31"/>
      <c r="L3" s="7">
        <f>SUM(RBA_47815[Extended Price])</f>
        <v>9.5010500000000011</v>
      </c>
    </row>
    <row r="4" spans="1:32" ht="50.1" customHeight="1">
      <c r="A4" s="30" t="s">
        <v>251</v>
      </c>
      <c r="C4" s="30">
        <v>2</v>
      </c>
      <c r="D4" t="s">
        <v>212</v>
      </c>
      <c r="E4" s="31" t="str">
        <f>HYPERLINK("https://amzn.to/3pcU6xT", "Amazon")</f>
        <v>Amazon</v>
      </c>
      <c r="F4" s="5">
        <f>15.99/20</f>
        <v>0.79949999999999999</v>
      </c>
      <c r="G4" s="5">
        <f>RBA_47815[[#This Row],[Unit Price]]*RBA_47815[[#This Row],[Quantity]]</f>
        <v>1.599</v>
      </c>
      <c r="H4" t="s">
        <v>259</v>
      </c>
      <c r="K4" s="31"/>
    </row>
    <row r="5" spans="1:32" ht="50.1" customHeight="1">
      <c r="A5" s="30" t="s">
        <v>403</v>
      </c>
      <c r="C5" s="30">
        <v>2</v>
      </c>
      <c r="D5" t="s">
        <v>212</v>
      </c>
      <c r="E5" s="31" t="str">
        <f>HYPERLINK("https://amzn.to/3p4Z7Zp", "PETG")</f>
        <v>PETG</v>
      </c>
      <c r="F5" s="5">
        <f>0.01899*8</f>
        <v>0.15192</v>
      </c>
      <c r="G5" s="5">
        <f>RBA_47815[[#This Row],[Unit Price]]*RBA_47815[[#This Row],[Quantity]]</f>
        <v>0.30384</v>
      </c>
      <c r="H5" t="s">
        <v>283</v>
      </c>
      <c r="I5" t="s">
        <v>210</v>
      </c>
      <c r="K5" s="31"/>
    </row>
    <row r="6" spans="1:32" ht="50.1" customHeight="1">
      <c r="A6" s="30" t="s">
        <v>290</v>
      </c>
      <c r="C6" s="30">
        <v>4</v>
      </c>
      <c r="D6" t="s">
        <v>212</v>
      </c>
      <c r="E6" s="31" t="str">
        <f>HYPERLINK("https://amzn.to/3t3zuJQ", "F606ZZ")</f>
        <v>F606ZZ</v>
      </c>
      <c r="F6" s="5">
        <f>12.7/10</f>
        <v>1.27</v>
      </c>
      <c r="G6" s="5">
        <f>RBA_47815[[#This Row],[Unit Price]]*RBA_47815[[#This Row],[Quantity]]</f>
        <v>5.08</v>
      </c>
      <c r="K6" s="31"/>
    </row>
    <row r="7" spans="1:32" ht="50.1" customHeight="1">
      <c r="A7" s="30" t="s">
        <v>404</v>
      </c>
      <c r="C7" s="30">
        <v>4</v>
      </c>
      <c r="D7" t="s">
        <v>212</v>
      </c>
      <c r="E7" s="31" t="str">
        <f>HYPERLINK("https://amzn.to/3p4Z7Zp", "PETG")</f>
        <v>PETG</v>
      </c>
      <c r="F7" s="5">
        <f>0.01899*3</f>
        <v>5.697E-2</v>
      </c>
      <c r="G7" s="5">
        <f>RBA_47815[[#This Row],[Unit Price]]*RBA_47815[[#This Row],[Quantity]]</f>
        <v>0.22788</v>
      </c>
      <c r="H7" t="s">
        <v>287</v>
      </c>
      <c r="K7" s="31"/>
    </row>
    <row r="8" spans="1:32" ht="50.1" customHeight="1">
      <c r="A8" s="30" t="s">
        <v>282</v>
      </c>
      <c r="C8" s="30">
        <v>4</v>
      </c>
      <c r="D8" t="s">
        <v>257</v>
      </c>
      <c r="E8" s="31" t="str">
        <f>HYPERLINK("https://www.mcmaster.com/92095A223/", "McMaster")</f>
        <v>McMaster</v>
      </c>
      <c r="F8" s="5">
        <f>11.11/25</f>
        <v>0.44439999999999996</v>
      </c>
      <c r="G8" s="5">
        <f>RBA_47815[[#This Row],[Unit Price]]*RBA_47815[[#This Row],[Quantity]]</f>
        <v>1.7775999999999998</v>
      </c>
      <c r="H8" t="s">
        <v>285</v>
      </c>
      <c r="I8" t="s">
        <v>269</v>
      </c>
      <c r="K8" s="31" t="str">
        <f>HYPERLINK("https://amzn.to/3sVaTGL", "Amazon")</f>
        <v>Amazon</v>
      </c>
    </row>
    <row r="9" spans="1:32" ht="50.1" customHeight="1">
      <c r="A9" s="33"/>
      <c r="C9" s="33"/>
      <c r="E9" s="31"/>
      <c r="F9" s="5"/>
      <c r="G9" s="5"/>
      <c r="K9" s="31"/>
    </row>
    <row r="10" spans="1:32" ht="50.1" customHeight="1">
      <c r="A10" s="33"/>
      <c r="C10" s="33"/>
      <c r="E10" s="31"/>
      <c r="F10" s="5"/>
      <c r="G10" s="5"/>
      <c r="K10" s="31"/>
    </row>
    <row r="11" spans="1:32" ht="50.1" customHeight="1">
      <c r="A11" s="33"/>
      <c r="C11" s="33"/>
      <c r="E11" s="31"/>
      <c r="F11" s="5"/>
      <c r="G11" s="5"/>
      <c r="K11" s="31"/>
    </row>
    <row r="12" spans="1:32" ht="50.1" customHeight="1">
      <c r="A12" s="33"/>
      <c r="C12" s="33"/>
      <c r="E12" s="31"/>
      <c r="F12" s="5"/>
      <c r="G12" s="5"/>
      <c r="K12" s="31"/>
    </row>
    <row r="13" spans="1:32" ht="50.1" customHeight="1">
      <c r="A13" s="33"/>
      <c r="C13" s="33"/>
      <c r="E13" s="31"/>
      <c r="F13" s="5"/>
      <c r="G13" s="5"/>
      <c r="K13" s="31"/>
    </row>
    <row r="14" spans="1:32" ht="50.1" customHeight="1">
      <c r="A14" s="33"/>
      <c r="C14" s="33"/>
      <c r="E14" s="31"/>
      <c r="F14" s="5"/>
      <c r="G14" s="5"/>
      <c r="K14" s="31"/>
    </row>
    <row r="15" spans="1:32" ht="50.1" customHeight="1">
      <c r="A15" s="33"/>
      <c r="C15" s="33"/>
      <c r="E15" s="31"/>
      <c r="F15" s="5"/>
      <c r="G15" s="5"/>
      <c r="K15" s="31"/>
    </row>
    <row r="16" spans="1:32" ht="50.1" customHeight="1">
      <c r="A16" s="33"/>
      <c r="C16" s="33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/>
      <c r="B22" s="39"/>
      <c r="C22" s="39"/>
      <c r="D22" s="39"/>
      <c r="E22" s="39"/>
      <c r="F22" s="39"/>
      <c r="G22" s="39"/>
      <c r="H22" s="39"/>
      <c r="I22" s="5"/>
    </row>
  </sheetData>
  <mergeCells count="2">
    <mergeCell ref="A1:O1"/>
    <mergeCell ref="A22:H22"/>
  </mergeCells>
  <conditionalFormatting sqref="G1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7 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1 F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3 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F5" sqref="F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243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3" t="s">
        <v>289</v>
      </c>
      <c r="C3" s="33">
        <v>1</v>
      </c>
      <c r="D3" t="s">
        <v>212</v>
      </c>
      <c r="E3" s="31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262</v>
      </c>
      <c r="I3" t="s">
        <v>210</v>
      </c>
      <c r="K3" s="31"/>
      <c r="L3" s="7">
        <f>SUM(RBA_4789[Extended Price])</f>
        <v>6.5005199999999999</v>
      </c>
    </row>
    <row r="4" spans="1:32" ht="50.1" customHeight="1">
      <c r="A4" s="33" t="s">
        <v>280</v>
      </c>
      <c r="C4" s="33">
        <v>1</v>
      </c>
      <c r="D4" t="s">
        <v>212</v>
      </c>
      <c r="E4" s="31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283</v>
      </c>
      <c r="I4" t="s">
        <v>210</v>
      </c>
      <c r="K4" s="31"/>
    </row>
    <row r="5" spans="1:32" ht="50.1" customHeight="1">
      <c r="A5" s="33" t="s">
        <v>290</v>
      </c>
      <c r="C5" s="33">
        <v>4</v>
      </c>
      <c r="D5" t="s">
        <v>212</v>
      </c>
      <c r="E5" s="31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1"/>
    </row>
    <row r="6" spans="1:32" ht="50.1" customHeight="1">
      <c r="A6" s="33" t="s">
        <v>282</v>
      </c>
      <c r="C6" s="33">
        <v>2</v>
      </c>
      <c r="D6" t="s">
        <v>257</v>
      </c>
      <c r="E6" s="31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285</v>
      </c>
      <c r="I6" t="s">
        <v>269</v>
      </c>
      <c r="K6" s="31" t="str">
        <f>HYPERLINK("https://amzn.to/3sVaTGL", "Amazon")</f>
        <v>Amazon</v>
      </c>
    </row>
    <row r="7" spans="1:32" ht="50.1" customHeight="1">
      <c r="A7" s="30"/>
      <c r="C7" s="30"/>
      <c r="E7" s="31"/>
      <c r="F7" s="5"/>
      <c r="G7" s="5"/>
      <c r="K7" s="31"/>
    </row>
    <row r="8" spans="1:32" ht="50.1" customHeight="1">
      <c r="A8" s="30"/>
      <c r="C8" s="30"/>
      <c r="E8" s="31"/>
      <c r="F8" s="5"/>
      <c r="G8" s="5"/>
      <c r="K8" s="31"/>
    </row>
    <row r="9" spans="1:32" ht="50.1" customHeight="1">
      <c r="A9" s="30"/>
      <c r="C9" s="30"/>
      <c r="E9" s="31"/>
      <c r="F9" s="5"/>
      <c r="G9" s="5"/>
      <c r="K9" s="31"/>
    </row>
    <row r="10" spans="1:32" ht="50.1" customHeight="1">
      <c r="A10" s="30"/>
      <c r="C10" s="30"/>
      <c r="E10" s="31"/>
      <c r="F10" s="5"/>
      <c r="G10" s="5"/>
      <c r="K10" s="31"/>
    </row>
    <row r="11" spans="1:32" ht="50.1" customHeight="1">
      <c r="A11" s="30"/>
      <c r="C11" s="30"/>
      <c r="E11" s="31"/>
      <c r="F11" s="5"/>
      <c r="G11" s="5"/>
      <c r="K11" s="31"/>
    </row>
    <row r="12" spans="1:32" ht="50.1" customHeight="1">
      <c r="A12" s="30"/>
      <c r="C12" s="30"/>
      <c r="E12" s="31"/>
      <c r="F12" s="5"/>
      <c r="G12" s="5"/>
      <c r="K12" s="31"/>
    </row>
    <row r="13" spans="1:32" ht="50.1" customHeight="1">
      <c r="A13" s="30"/>
      <c r="C13" s="30"/>
      <c r="E13" s="31"/>
      <c r="F13" s="5"/>
      <c r="G13" s="5"/>
      <c r="K13" s="31"/>
    </row>
    <row r="14" spans="1:32" ht="50.1" customHeight="1">
      <c r="A14" s="30"/>
      <c r="C14" s="30"/>
      <c r="E14" s="31"/>
      <c r="F14" s="5"/>
      <c r="G14" s="5"/>
      <c r="K14" s="31"/>
    </row>
    <row r="15" spans="1:32" ht="50.1" customHeight="1">
      <c r="A15" s="30"/>
      <c r="C15" s="30"/>
      <c r="E15" s="31"/>
      <c r="F15" s="5"/>
      <c r="G15" s="5"/>
      <c r="K15" s="31"/>
    </row>
    <row r="16" spans="1:32" ht="50.1" customHeight="1">
      <c r="A16" s="30"/>
      <c r="C16" s="30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 t="s">
        <v>203</v>
      </c>
      <c r="B22" s="39"/>
      <c r="C22" s="39"/>
      <c r="D22" s="39"/>
      <c r="E22" s="39"/>
      <c r="F22" s="39"/>
      <c r="G22" s="39"/>
      <c r="H22" s="39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E9" sqref="E9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315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348</v>
      </c>
      <c r="C3" s="30">
        <v>1</v>
      </c>
      <c r="D3" t="s">
        <v>212</v>
      </c>
      <c r="E3" s="31" t="str">
        <f t="shared" ref="E3" si="0">HYPERLINK("https://amzn.to/3p4Z7Zp", "PETG")</f>
        <v>PETG</v>
      </c>
      <c r="F3" s="5">
        <f>0.01899*22</f>
        <v>0.41777999999999998</v>
      </c>
      <c r="G3" s="5">
        <f>RBA_478911[[#This Row],[Unit Price]]*RBA_478911[[#This Row],[Quantity]]</f>
        <v>0.41777999999999998</v>
      </c>
      <c r="H3" t="s">
        <v>356</v>
      </c>
      <c r="K3" s="31"/>
      <c r="L3" s="7">
        <f>SUM(RBA_478911[Extended Price])</f>
        <v>6.8655099999999996</v>
      </c>
    </row>
    <row r="4" spans="1:32" ht="50.1" customHeight="1">
      <c r="A4" s="30" t="s">
        <v>349</v>
      </c>
      <c r="C4" s="30">
        <v>1</v>
      </c>
      <c r="D4" t="s">
        <v>212</v>
      </c>
      <c r="E4" s="31" t="str">
        <f>HYPERLINK("https://amzn.to/3p4Z7Zp", "PETG")</f>
        <v>PETG</v>
      </c>
      <c r="F4" s="5">
        <f>0.01899*7</f>
        <v>0.13292999999999999</v>
      </c>
      <c r="G4" s="5">
        <f>RBA_478911[[#This Row],[Unit Price]]*RBA_478911[[#This Row],[Quantity]]</f>
        <v>0.13292999999999999</v>
      </c>
      <c r="H4" t="s">
        <v>355</v>
      </c>
      <c r="K4" s="31"/>
    </row>
    <row r="5" spans="1:32" ht="50.1" customHeight="1">
      <c r="A5" s="33" t="s">
        <v>350</v>
      </c>
      <c r="C5" s="30">
        <v>2</v>
      </c>
      <c r="D5" t="s">
        <v>257</v>
      </c>
      <c r="E5" s="31" t="str">
        <f>HYPERLINK("https://www.mcmaster.com/62805K49/", "McMaster")</f>
        <v>McMaster</v>
      </c>
      <c r="F5" s="5">
        <v>2.86</v>
      </c>
      <c r="G5" s="5">
        <f>RBA_478911[[#This Row],[Unit Price]]*RBA_478911[[#This Row],[Quantity]]</f>
        <v>5.72</v>
      </c>
      <c r="H5" t="s">
        <v>354</v>
      </c>
      <c r="K5" s="31"/>
    </row>
    <row r="6" spans="1:32" ht="50.1" customHeight="1">
      <c r="A6" s="30" t="s">
        <v>351</v>
      </c>
      <c r="C6" s="30">
        <v>1</v>
      </c>
      <c r="D6" t="s">
        <v>257</v>
      </c>
      <c r="E6" s="31" t="str">
        <f>HYPERLINK("https://www.mcmaster.com/92095A222/", "McMaster")</f>
        <v>McMaster</v>
      </c>
      <c r="F6" s="5">
        <f>13.31/25</f>
        <v>0.53239999999999998</v>
      </c>
      <c r="G6" s="5">
        <f>RBA_478911[[#This Row],[Unit Price]]*RBA_478911[[#This Row],[Quantity]]</f>
        <v>0.53239999999999998</v>
      </c>
      <c r="H6" t="s">
        <v>353</v>
      </c>
      <c r="I6" t="s">
        <v>269</v>
      </c>
      <c r="J6" t="s">
        <v>212</v>
      </c>
      <c r="K6" s="31" t="str">
        <f>HYPERLINK("https://amzn.to/35ijWtt", "Amazon")</f>
        <v>Amazon</v>
      </c>
    </row>
    <row r="7" spans="1:32" ht="50.1" customHeight="1">
      <c r="A7" s="30" t="s">
        <v>352</v>
      </c>
      <c r="C7" s="30">
        <v>2</v>
      </c>
      <c r="D7" t="s">
        <v>257</v>
      </c>
      <c r="E7" s="31" t="str">
        <f>HYPERLINK("https://www.mcmaster.com/90592A016/","McMaster")</f>
        <v>McMaster</v>
      </c>
      <c r="F7" s="5">
        <f>3.12/100</f>
        <v>3.1200000000000002E-2</v>
      </c>
      <c r="G7" s="5">
        <f>RBA_478911[[#This Row],[Unit Price]]*RBA_478911[[#This Row],[Quantity]]</f>
        <v>6.2400000000000004E-2</v>
      </c>
      <c r="H7" t="s">
        <v>357</v>
      </c>
      <c r="I7" t="s">
        <v>358</v>
      </c>
      <c r="J7" t="s">
        <v>212</v>
      </c>
      <c r="K7" s="31" t="str">
        <f>HYPERLINK("https://amzn.to/3JKgFBP","Amazon")</f>
        <v>Amazon</v>
      </c>
    </row>
    <row r="8" spans="1:32" ht="50.1" customHeight="1">
      <c r="A8" s="30"/>
      <c r="C8" s="30"/>
      <c r="E8" s="31"/>
      <c r="F8" s="5"/>
      <c r="G8" s="5"/>
      <c r="K8" s="31"/>
    </row>
    <row r="9" spans="1:32" ht="50.1" customHeight="1">
      <c r="A9" s="30"/>
      <c r="C9" s="30"/>
      <c r="E9" s="31"/>
      <c r="F9" s="5"/>
      <c r="G9" s="5"/>
      <c r="K9" s="31"/>
    </row>
    <row r="10" spans="1:32" ht="50.1" customHeight="1">
      <c r="A10" s="30"/>
      <c r="C10" s="30"/>
      <c r="E10" s="31"/>
      <c r="F10" s="5"/>
      <c r="G10" s="5"/>
      <c r="K10" s="31"/>
    </row>
    <row r="11" spans="1:32" ht="50.1" customHeight="1">
      <c r="A11" s="30"/>
      <c r="C11" s="30"/>
      <c r="E11" s="31"/>
      <c r="F11" s="5"/>
      <c r="G11" s="5"/>
      <c r="K11" s="31"/>
    </row>
    <row r="12" spans="1:32" ht="50.1" customHeight="1">
      <c r="A12" s="30"/>
      <c r="C12" s="30"/>
      <c r="E12" s="31"/>
      <c r="F12" s="5"/>
      <c r="G12" s="5"/>
      <c r="K12" s="31"/>
    </row>
    <row r="13" spans="1:32" ht="50.1" customHeight="1">
      <c r="A13" s="30"/>
      <c r="C13" s="30"/>
      <c r="E13" s="31"/>
      <c r="F13" s="5"/>
      <c r="G13" s="5"/>
      <c r="K13" s="31"/>
    </row>
    <row r="14" spans="1:32" ht="50.1" customHeight="1">
      <c r="A14" s="30"/>
      <c r="C14" s="30"/>
      <c r="E14" s="31"/>
      <c r="F14" s="5"/>
      <c r="G14" s="5"/>
      <c r="K14" s="31"/>
    </row>
    <row r="15" spans="1:32" ht="50.1" customHeight="1">
      <c r="A15" s="30"/>
      <c r="C15" s="30"/>
      <c r="E15" s="31"/>
      <c r="F15" s="5"/>
      <c r="G15" s="5"/>
      <c r="K15" s="31"/>
    </row>
    <row r="16" spans="1:32" ht="50.1" customHeight="1">
      <c r="A16" s="30"/>
      <c r="C16" s="30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 t="s">
        <v>203</v>
      </c>
      <c r="B22" s="39"/>
      <c r="C22" s="39"/>
      <c r="D22" s="39"/>
      <c r="E22" s="39"/>
      <c r="F22" s="39"/>
      <c r="G22" s="39"/>
      <c r="H22" s="39"/>
      <c r="I22" s="5">
        <f>SUM(RBA_478911[Extended Price])</f>
        <v>6.8655099999999996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P60"/>
  <sheetViews>
    <sheetView topLeftCell="A34" workbookViewId="0">
      <selection activeCell="H61" sqref="H61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" ht="58.5" customHeight="1">
      <c r="A1" s="40" t="s">
        <v>200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345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6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6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6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6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6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6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6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6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6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6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6">
      <c r="A17" s="35" t="s">
        <v>99</v>
      </c>
      <c r="B17" s="35" t="s">
        <v>100</v>
      </c>
      <c r="C17" s="35" t="s">
        <v>101</v>
      </c>
      <c r="D17" s="35" t="s">
        <v>102</v>
      </c>
      <c r="E17" s="35" t="s">
        <v>19</v>
      </c>
      <c r="F17" s="35" t="s">
        <v>20</v>
      </c>
      <c r="G17" s="35">
        <v>1</v>
      </c>
      <c r="H17" s="36">
        <v>0</v>
      </c>
      <c r="I17" s="36">
        <v>0</v>
      </c>
      <c r="J17" s="35">
        <v>1001</v>
      </c>
      <c r="K17" s="35" t="s">
        <v>103</v>
      </c>
      <c r="L17" s="35" t="s">
        <v>104</v>
      </c>
      <c r="M17" s="35" t="s">
        <v>54</v>
      </c>
      <c r="N17" s="35" t="s">
        <v>24</v>
      </c>
      <c r="O17" s="35" t="s">
        <v>32</v>
      </c>
      <c r="P17" s="35" t="s">
        <v>344</v>
      </c>
    </row>
    <row r="18" spans="1:16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6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6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6">
      <c r="I21" s="5"/>
    </row>
    <row r="22" spans="1:16">
      <c r="I22" s="5"/>
    </row>
    <row r="23" spans="1:16">
      <c r="I23" s="5"/>
    </row>
    <row r="24" spans="1:16" ht="27.75" customHeight="1">
      <c r="A24" s="39" t="s">
        <v>203</v>
      </c>
      <c r="B24" s="39"/>
      <c r="C24" s="39"/>
      <c r="D24" s="39"/>
      <c r="E24" s="39"/>
      <c r="F24" s="39"/>
      <c r="G24" s="39"/>
      <c r="H24" s="39"/>
      <c r="I24" s="5">
        <f>SUM(Table1[Extended Price])</f>
        <v>17.48</v>
      </c>
    </row>
    <row r="25" spans="1:16" ht="47.25" customHeight="1">
      <c r="A25" s="41" t="s">
        <v>201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6">
      <c r="A27" s="2" t="s">
        <v>15</v>
      </c>
      <c r="B27" s="2" t="s">
        <v>16</v>
      </c>
      <c r="C27" s="2" t="s">
        <v>17</v>
      </c>
      <c r="D27" s="2" t="s">
        <v>122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6">
      <c r="A28" s="2" t="s">
        <v>123</v>
      </c>
      <c r="B28" s="2" t="s">
        <v>124</v>
      </c>
      <c r="C28" s="2" t="s">
        <v>125</v>
      </c>
      <c r="D28" s="2" t="s">
        <v>126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127</v>
      </c>
      <c r="M28" s="2" t="s">
        <v>23</v>
      </c>
      <c r="N28" s="2" t="s">
        <v>24</v>
      </c>
      <c r="O28" s="2" t="s">
        <v>32</v>
      </c>
    </row>
    <row r="29" spans="1:16">
      <c r="A29" s="2" t="s">
        <v>128</v>
      </c>
      <c r="B29" s="2" t="s">
        <v>129</v>
      </c>
      <c r="C29" s="2" t="s">
        <v>130</v>
      </c>
      <c r="D29" s="2" t="s">
        <v>131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132</v>
      </c>
      <c r="L29" s="2" t="s">
        <v>133</v>
      </c>
      <c r="M29" s="2" t="s">
        <v>23</v>
      </c>
      <c r="N29" s="2" t="s">
        <v>24</v>
      </c>
      <c r="O29" s="2" t="s">
        <v>32</v>
      </c>
    </row>
    <row r="30" spans="1:16">
      <c r="A30" s="2" t="s">
        <v>134</v>
      </c>
      <c r="B30" s="2" t="s">
        <v>27</v>
      </c>
      <c r="C30" s="2" t="s">
        <v>135</v>
      </c>
      <c r="D30" s="2" t="s">
        <v>136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137</v>
      </c>
      <c r="M30" s="2" t="s">
        <v>23</v>
      </c>
      <c r="N30" s="2" t="s">
        <v>24</v>
      </c>
      <c r="O30" s="2" t="s">
        <v>32</v>
      </c>
    </row>
    <row r="31" spans="1:16">
      <c r="A31" s="2" t="s">
        <v>26</v>
      </c>
      <c r="B31" s="2" t="s">
        <v>27</v>
      </c>
      <c r="C31" s="2" t="s">
        <v>28</v>
      </c>
      <c r="D31" s="2" t="s">
        <v>138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6">
      <c r="A32" s="2" t="s">
        <v>139</v>
      </c>
      <c r="B32" s="2" t="s">
        <v>140</v>
      </c>
      <c r="C32" s="2" t="s">
        <v>141</v>
      </c>
      <c r="D32" s="2" t="s">
        <v>142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143</v>
      </c>
      <c r="L32" s="2" t="s">
        <v>144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145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146</v>
      </c>
      <c r="B34" s="2" t="s">
        <v>61</v>
      </c>
      <c r="C34" s="2" t="s">
        <v>147</v>
      </c>
      <c r="D34" s="2" t="s">
        <v>148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149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150</v>
      </c>
      <c r="C35" s="2" t="s">
        <v>151</v>
      </c>
      <c r="D35" s="2" t="s">
        <v>152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143</v>
      </c>
      <c r="L35" s="2" t="s">
        <v>153</v>
      </c>
      <c r="M35" s="2" t="s">
        <v>23</v>
      </c>
      <c r="N35" s="2" t="s">
        <v>24</v>
      </c>
      <c r="O35" s="2" t="s">
        <v>32</v>
      </c>
    </row>
    <row r="36" spans="1:15">
      <c r="A36" s="2" t="s">
        <v>154</v>
      </c>
      <c r="B36" s="2" t="s">
        <v>155</v>
      </c>
      <c r="C36" s="2" t="s">
        <v>156</v>
      </c>
      <c r="D36" s="2" t="s">
        <v>157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158</v>
      </c>
      <c r="M36" s="2" t="s">
        <v>25</v>
      </c>
      <c r="N36" s="2" t="s">
        <v>25</v>
      </c>
      <c r="O36" s="2" t="s">
        <v>25</v>
      </c>
    </row>
    <row r="37" spans="1:15">
      <c r="A37" s="2" t="s">
        <v>159</v>
      </c>
      <c r="B37" s="2" t="s">
        <v>118</v>
      </c>
      <c r="C37" s="2" t="s">
        <v>160</v>
      </c>
      <c r="D37" s="2" t="s">
        <v>161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162</v>
      </c>
      <c r="L37" s="2" t="s">
        <v>163</v>
      </c>
      <c r="M37" s="2" t="s">
        <v>23</v>
      </c>
      <c r="N37" s="2" t="s">
        <v>24</v>
      </c>
      <c r="O37" s="2" t="s">
        <v>32</v>
      </c>
    </row>
    <row r="38" spans="1:15">
      <c r="A38" s="2" t="s">
        <v>164</v>
      </c>
      <c r="B38" s="2" t="s">
        <v>67</v>
      </c>
      <c r="C38" s="2" t="s">
        <v>165</v>
      </c>
      <c r="D38" s="2" t="s">
        <v>166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167</v>
      </c>
      <c r="L38" s="2" t="s">
        <v>168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169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170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171</v>
      </c>
      <c r="B41" s="2" t="s">
        <v>72</v>
      </c>
      <c r="C41" s="2" t="s">
        <v>172</v>
      </c>
      <c r="D41" s="2" t="s">
        <v>173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174</v>
      </c>
      <c r="M41" s="2" t="s">
        <v>23</v>
      </c>
      <c r="N41" s="2" t="s">
        <v>24</v>
      </c>
      <c r="O41" s="2" t="s">
        <v>32</v>
      </c>
    </row>
    <row r="42" spans="1:15">
      <c r="A42" s="2" t="s">
        <v>175</v>
      </c>
      <c r="B42" s="2" t="s">
        <v>93</v>
      </c>
      <c r="C42" s="2" t="s">
        <v>176</v>
      </c>
      <c r="D42" s="2" t="s">
        <v>177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143</v>
      </c>
      <c r="L42" s="2" t="s">
        <v>178</v>
      </c>
      <c r="M42" s="2" t="s">
        <v>54</v>
      </c>
      <c r="N42" s="2" t="s">
        <v>24</v>
      </c>
      <c r="O42" s="2" t="s">
        <v>25</v>
      </c>
    </row>
    <row r="43" spans="1:15">
      <c r="A43" s="2" t="s">
        <v>179</v>
      </c>
      <c r="B43" s="2" t="s">
        <v>112</v>
      </c>
      <c r="C43" s="2" t="s">
        <v>180</v>
      </c>
      <c r="D43" s="2" t="s">
        <v>181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182</v>
      </c>
      <c r="L43" s="2" t="s">
        <v>183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184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185</v>
      </c>
      <c r="B45" s="2" t="s">
        <v>112</v>
      </c>
      <c r="C45" s="2" t="s">
        <v>186</v>
      </c>
      <c r="D45" s="2" t="s">
        <v>187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188</v>
      </c>
      <c r="M45" s="2" t="s">
        <v>23</v>
      </c>
      <c r="N45" s="2" t="s">
        <v>24</v>
      </c>
      <c r="O45" s="2" t="s">
        <v>32</v>
      </c>
    </row>
    <row r="46" spans="1:15">
      <c r="A46" s="2" t="s">
        <v>189</v>
      </c>
      <c r="B46" s="2" t="s">
        <v>112</v>
      </c>
      <c r="C46" s="2" t="s">
        <v>190</v>
      </c>
      <c r="D46" s="2" t="s">
        <v>191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192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193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194</v>
      </c>
      <c r="B48" s="2" t="s">
        <v>195</v>
      </c>
      <c r="C48" s="2" t="s">
        <v>196</v>
      </c>
      <c r="D48" s="2" t="s">
        <v>197</v>
      </c>
      <c r="E48" s="2" t="s">
        <v>19</v>
      </c>
      <c r="F48" s="2" t="s">
        <v>198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199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39" t="s">
        <v>203</v>
      </c>
      <c r="B52" s="39"/>
      <c r="C52" s="39"/>
      <c r="D52" s="39"/>
      <c r="E52" s="39"/>
      <c r="F52" s="39"/>
      <c r="G52" s="39"/>
      <c r="H52" s="39"/>
      <c r="I52" s="7">
        <f>SUM(Table2[Extended Price])</f>
        <v>34.43</v>
      </c>
    </row>
    <row r="53" spans="1:15" ht="41.25" customHeight="1">
      <c r="A53" s="42" t="s">
        <v>202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5">
      <c r="A54" s="11" t="s">
        <v>0</v>
      </c>
      <c r="B54" s="11" t="s">
        <v>1</v>
      </c>
      <c r="C54" s="11" t="s">
        <v>442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12" t="s">
        <v>439</v>
      </c>
      <c r="B55" s="12" t="s">
        <v>440</v>
      </c>
      <c r="C55" s="46" t="str">
        <f>HYPERLINK("https://www.amazon.com/Outdoor-Ethernet-Network-Internet-Waterproof/dp/B09BJ9DXKT/ref=sr_1_4?crid=UPB0B11XVW2J&amp;keywords=outdoor+ethernet+30ft&amp;qid=1646697389&amp;sprefix=outdoor+ethernet+30f%2Caps%2C134&amp;sr=8-4", "Amazon")</f>
        <v>Amazon</v>
      </c>
      <c r="D55" s="12" t="s">
        <v>207</v>
      </c>
      <c r="E55" s="12" t="s">
        <v>51</v>
      </c>
      <c r="F55" s="12" t="s">
        <v>20</v>
      </c>
      <c r="G55" s="8">
        <v>3</v>
      </c>
      <c r="H55" s="10">
        <f>14.9/2</f>
        <v>7.45</v>
      </c>
      <c r="I55" s="10">
        <f>Table5[[#This Row],[Unit Price]]*Table5[[#This Row],[Quantity]]</f>
        <v>22.35</v>
      </c>
      <c r="J55" s="8">
        <v>40</v>
      </c>
      <c r="K55" s="8" t="s">
        <v>58</v>
      </c>
      <c r="L55" s="8" t="s">
        <v>205</v>
      </c>
      <c r="M55" s="8" t="s">
        <v>54</v>
      </c>
      <c r="N55" s="8" t="s">
        <v>24</v>
      </c>
      <c r="O55" s="8" t="s">
        <v>25</v>
      </c>
    </row>
    <row r="56" spans="1:15">
      <c r="A56" s="45" t="s">
        <v>437</v>
      </c>
      <c r="B56" t="s">
        <v>436</v>
      </c>
      <c r="C56" s="46" t="str">
        <f>HYPERLINK("https://www.amazon.com/gp/product/B093LCQQFY/ref=ppx_yo_dt_b_search_asin_title?ie=UTF8&amp;psc=1", "Amazon")</f>
        <v>Amazon</v>
      </c>
      <c r="D56" s="8" t="s">
        <v>438</v>
      </c>
      <c r="E56" s="8"/>
      <c r="F56" s="8"/>
      <c r="G56" s="8">
        <v>3</v>
      </c>
      <c r="H56" s="10">
        <v>7.99</v>
      </c>
      <c r="I56" s="10">
        <f>Table5[[#This Row],[Unit Price]]*Table5[[#This Row],[Quantity]]</f>
        <v>23.97</v>
      </c>
      <c r="J56" s="8"/>
      <c r="K56" s="8"/>
      <c r="L56" s="8"/>
      <c r="M56" s="8"/>
      <c r="N56" s="8"/>
      <c r="O56" s="8"/>
    </row>
    <row r="57" spans="1:15">
      <c r="A57" s="12" t="s">
        <v>439</v>
      </c>
      <c r="B57" s="12" t="s">
        <v>440</v>
      </c>
      <c r="C57" s="46" t="str">
        <f>HYPERLINK("https://www.amazon.com/Ethernet-Outdoor-Connector-Weatherproof-Resistant/dp/B07QLXC6QR/ref=sr_1_5?crid=2F6RVGF7SO42&amp;keywords=outdoor+ethernet+6ft&amp;qid=1646697348&amp;sprefix=outdoor+ethernet+6f%2Caps%2C124&amp;sr=8-5", "Amazon")</f>
        <v>Amazon</v>
      </c>
      <c r="D57" s="12" t="s">
        <v>441</v>
      </c>
      <c r="E57" s="12" t="s">
        <v>51</v>
      </c>
      <c r="F57" s="12" t="s">
        <v>20</v>
      </c>
      <c r="G57" s="8">
        <v>1</v>
      </c>
      <c r="H57" s="10">
        <f>7.64</f>
        <v>7.64</v>
      </c>
      <c r="I57" s="10">
        <f>Table5[[#This Row],[Unit Price]]*Table5[[#This Row],[Quantity]]</f>
        <v>7.64</v>
      </c>
      <c r="J57" s="8"/>
      <c r="K57" s="8"/>
      <c r="L57" s="8"/>
      <c r="M57" s="8"/>
      <c r="N57" s="8"/>
      <c r="O57" s="8"/>
    </row>
    <row r="58" spans="1:15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12"/>
      <c r="O58" s="12"/>
    </row>
    <row r="59" spans="1:15">
      <c r="A59" s="12"/>
      <c r="B59" s="12"/>
      <c r="C59" s="12"/>
      <c r="D59" s="12"/>
      <c r="E59" s="12"/>
      <c r="F59" s="12"/>
      <c r="G59" s="12"/>
      <c r="H59" s="13"/>
      <c r="I59" s="13"/>
      <c r="J59" s="12"/>
      <c r="K59" s="12"/>
      <c r="L59" s="12"/>
      <c r="M59" s="12"/>
      <c r="N59" s="12"/>
      <c r="O59" s="12"/>
    </row>
    <row r="60" spans="1:15" ht="27.75" customHeight="1">
      <c r="A60" s="39" t="s">
        <v>203</v>
      </c>
      <c r="B60" s="39"/>
      <c r="C60" s="39"/>
      <c r="D60" s="39"/>
      <c r="E60" s="39"/>
      <c r="F60" s="39"/>
      <c r="G60" s="39"/>
      <c r="H60" s="39"/>
      <c r="I60" s="7">
        <f>SUM(Table5[Extended Price])</f>
        <v>53.96</v>
      </c>
    </row>
  </sheetData>
  <mergeCells count="6">
    <mergeCell ref="A60:H60"/>
    <mergeCell ref="A1:O1"/>
    <mergeCell ref="A25:O25"/>
    <mergeCell ref="A53:O53"/>
    <mergeCell ref="A24:H24"/>
    <mergeCell ref="A52:H52"/>
  </mergeCells>
  <conditionalFormatting sqref="I27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43"/>
  <sheetViews>
    <sheetView topLeftCell="A10" workbookViewId="0">
      <selection activeCell="H15" sqref="H1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291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t="s">
        <v>292</v>
      </c>
      <c r="C3" s="30">
        <v>1</v>
      </c>
      <c r="D3" t="s">
        <v>322</v>
      </c>
      <c r="E3" s="31" t="str">
        <f>HYPERLINK("https://bit.ly/3vasq0u", "StepperOnline")</f>
        <v>StepperOnline</v>
      </c>
      <c r="F3" s="5">
        <v>54.77</v>
      </c>
      <c r="G3" s="5">
        <f>RBA_478910[[#This Row],[Unit Price]]*RBA_478910[[#This Row],[Quantity]]</f>
        <v>54.77</v>
      </c>
      <c r="H3" t="s">
        <v>324</v>
      </c>
      <c r="I3" t="s">
        <v>325</v>
      </c>
      <c r="K3" s="31"/>
      <c r="L3" s="7">
        <f>SUM(RBA_478910[Extended Price])</f>
        <v>448.24980960629921</v>
      </c>
    </row>
    <row r="4" spans="1:32" ht="50.1" customHeight="1">
      <c r="A4" s="30" t="s">
        <v>293</v>
      </c>
      <c r="C4" s="30">
        <v>1</v>
      </c>
      <c r="D4" t="s">
        <v>322</v>
      </c>
      <c r="E4" s="31"/>
      <c r="F4" s="5">
        <v>0</v>
      </c>
      <c r="G4" s="5">
        <f>RBA_478910[[#This Row],[Unit Price]]*RBA_478910[[#This Row],[Quantity]]</f>
        <v>0</v>
      </c>
      <c r="H4" t="s">
        <v>323</v>
      </c>
      <c r="I4" t="s">
        <v>326</v>
      </c>
      <c r="K4" s="31"/>
    </row>
    <row r="5" spans="1:32" ht="50.1" customHeight="1">
      <c r="A5" s="30" t="s">
        <v>294</v>
      </c>
      <c r="C5" s="30">
        <v>1</v>
      </c>
      <c r="D5" t="s">
        <v>321</v>
      </c>
      <c r="E5" s="31"/>
      <c r="F5" s="5">
        <f>'Electrical '!I24</f>
        <v>17.48</v>
      </c>
      <c r="G5" s="5">
        <f>RBA_478910[[#This Row],[Unit Price]]*RBA_478910[[#This Row],[Quantity]]</f>
        <v>17.48</v>
      </c>
      <c r="H5" t="s">
        <v>327</v>
      </c>
      <c r="I5" t="s">
        <v>328</v>
      </c>
      <c r="K5" s="31"/>
    </row>
    <row r="6" spans="1:32" ht="50.1" customHeight="1">
      <c r="A6" s="30" t="s">
        <v>295</v>
      </c>
      <c r="C6" s="30">
        <v>1</v>
      </c>
      <c r="D6">
        <v>8020</v>
      </c>
      <c r="E6" s="31" t="str">
        <f>HYPERLINK("https://8020.net/20-4040.html", "20-4040")</f>
        <v>20-4040</v>
      </c>
      <c r="F6" s="5">
        <f>(0.65/25.4)*2000 + 2.51</f>
        <v>53.691102362204731</v>
      </c>
      <c r="G6" s="5">
        <f>RBA_478910[[#This Row],[Unit Price]]*RBA_478910[[#This Row],[Quantity]]</f>
        <v>53.691102362204731</v>
      </c>
      <c r="H6" t="s">
        <v>245</v>
      </c>
      <c r="I6" t="s">
        <v>329</v>
      </c>
      <c r="K6" s="31"/>
    </row>
    <row r="7" spans="1:32" ht="50.1" customHeight="1">
      <c r="A7" s="30" t="s">
        <v>296</v>
      </c>
      <c r="C7" s="30">
        <v>1</v>
      </c>
      <c r="D7" s="31" t="s">
        <v>212</v>
      </c>
      <c r="E7" s="31" t="str">
        <f t="shared" ref="E7" si="0">HYPERLINK("https://amzn.to/3p4Z7Zp", "PETG")</f>
        <v>PETG</v>
      </c>
      <c r="F7" s="5">
        <f>0.01899*82</f>
        <v>1.55718</v>
      </c>
      <c r="G7" s="5">
        <f>RBA_478910[[#This Row],[Unit Price]]*RBA_478910[[#This Row],[Quantity]]</f>
        <v>1.55718</v>
      </c>
      <c r="H7" t="s">
        <v>262</v>
      </c>
      <c r="I7" t="s">
        <v>210</v>
      </c>
      <c r="J7" s="31"/>
      <c r="K7" s="31"/>
    </row>
    <row r="8" spans="1:32" ht="50.1" customHeight="1">
      <c r="A8" s="33" t="s">
        <v>297</v>
      </c>
      <c r="C8" s="30">
        <v>8</v>
      </c>
      <c r="D8" t="s">
        <v>257</v>
      </c>
      <c r="E8" s="31" t="str">
        <f>HYPERLINK("https://www.mcmaster.com/98952A059/","McMaster")</f>
        <v>McMaster</v>
      </c>
      <c r="F8" s="5">
        <v>2.81</v>
      </c>
      <c r="G8" s="5">
        <f>RBA_478910[[#This Row],[Unit Price]]*RBA_478910[[#This Row],[Quantity]]</f>
        <v>22.48</v>
      </c>
      <c r="K8" s="31"/>
    </row>
    <row r="9" spans="1:32" ht="50.1" customHeight="1">
      <c r="A9" s="33" t="s">
        <v>298</v>
      </c>
      <c r="C9" s="30">
        <v>4</v>
      </c>
      <c r="D9" t="s">
        <v>257</v>
      </c>
      <c r="E9" s="31" t="str">
        <f>HYPERLINK("https://www.mcmaster.com/95783A039/","McMaster")</f>
        <v>McMaster</v>
      </c>
      <c r="F9" s="5">
        <v>3</v>
      </c>
      <c r="G9" s="5">
        <f>RBA_478910[[#This Row],[Unit Price]]*RBA_478910[[#This Row],[Quantity]]</f>
        <v>12</v>
      </c>
      <c r="K9" s="31"/>
    </row>
    <row r="10" spans="1:32" ht="50.1" customHeight="1">
      <c r="A10" s="33" t="s">
        <v>299</v>
      </c>
      <c r="C10" s="30">
        <v>1</v>
      </c>
      <c r="D10" t="s">
        <v>331</v>
      </c>
      <c r="E10" s="31" t="str">
        <f>HYPERLINK("https://bit.ly/3Hc5Mr5","Misumi")</f>
        <v>Misumi</v>
      </c>
      <c r="F10" s="5">
        <v>46.32</v>
      </c>
      <c r="G10" s="5">
        <f>RBA_478910[[#This Row],[Unit Price]]*RBA_478910[[#This Row],[Quantity]]</f>
        <v>46.32</v>
      </c>
      <c r="H10" t="s">
        <v>343</v>
      </c>
      <c r="K10" s="31"/>
    </row>
    <row r="11" spans="1:32" ht="50.1" customHeight="1">
      <c r="A11" s="30" t="s">
        <v>300</v>
      </c>
      <c r="C11" s="30">
        <v>1</v>
      </c>
      <c r="D11" s="31" t="s">
        <v>212</v>
      </c>
      <c r="E11" s="31" t="str">
        <f t="shared" ref="E11" si="1">HYPERLINK("https://amzn.to/3p4Z7Zp", "PETG")</f>
        <v>PETG</v>
      </c>
      <c r="F11" s="5">
        <f>0.01899*8</f>
        <v>0.15192</v>
      </c>
      <c r="G11" s="5">
        <f>RBA_478910[[#This Row],[Unit Price]]*RBA_478910[[#This Row],[Quantity]]</f>
        <v>0.15192</v>
      </c>
      <c r="H11" t="s">
        <v>332</v>
      </c>
      <c r="I11" t="s">
        <v>210</v>
      </c>
      <c r="J11" s="31"/>
      <c r="K11" s="31"/>
    </row>
    <row r="12" spans="1:32" ht="50.1" customHeight="1">
      <c r="A12" s="33" t="s">
        <v>301</v>
      </c>
      <c r="C12" s="30">
        <v>1</v>
      </c>
      <c r="D12">
        <v>8020</v>
      </c>
      <c r="E12" s="31" t="str">
        <f>HYPERLINK("https://8020.net/20-2568.html","8020")</f>
        <v>8020</v>
      </c>
      <c r="F12" s="5">
        <v>28.24</v>
      </c>
      <c r="G12" s="5">
        <f>RBA_478910[[#This Row],[Unit Price]]*RBA_478910[[#This Row],[Quantity]]</f>
        <v>28.24</v>
      </c>
      <c r="K12" s="31"/>
    </row>
    <row r="13" spans="1:32" ht="50.1" customHeight="1">
      <c r="A13" s="30" t="s">
        <v>302</v>
      </c>
      <c r="C13" s="30">
        <v>1</v>
      </c>
      <c r="D13" t="s">
        <v>212</v>
      </c>
      <c r="E13" s="31" t="str">
        <f>HYPERLINK("https://www.amazon.com/gp/product/B07CXNK33Q/ref=ppx_yo_dt_b_search_asin_title?ie=UTF8&amp;psc=1","Amazon")</f>
        <v>Amazon</v>
      </c>
      <c r="F13" s="5">
        <v>2.5</v>
      </c>
      <c r="G13" s="5">
        <f>RBA_478910[[#This Row],[Unit Price]]*RBA_478910[[#This Row],[Quantity]]</f>
        <v>2.5</v>
      </c>
      <c r="H13" t="s">
        <v>333</v>
      </c>
      <c r="I13" t="s">
        <v>334</v>
      </c>
      <c r="K13" s="31"/>
    </row>
    <row r="14" spans="1:32" ht="50.1" customHeight="1">
      <c r="A14" s="30" t="s">
        <v>303</v>
      </c>
      <c r="C14" s="30">
        <v>1</v>
      </c>
      <c r="D14" s="31" t="s">
        <v>212</v>
      </c>
      <c r="E14" s="31" t="str">
        <f t="shared" ref="E14" si="2">HYPERLINK("https://amzn.to/3p4Z7Zp", "PETG")</f>
        <v>PETG</v>
      </c>
      <c r="F14" s="5">
        <f>0.01899*18</f>
        <v>0.34182000000000001</v>
      </c>
      <c r="G14" s="5">
        <f>RBA_478910[[#This Row],[Unit Price]]*RBA_478910[[#This Row],[Quantity]]</f>
        <v>0.34182000000000001</v>
      </c>
      <c r="H14" t="s">
        <v>262</v>
      </c>
      <c r="I14" t="s">
        <v>210</v>
      </c>
      <c r="J14" s="31"/>
      <c r="K14" s="31"/>
    </row>
    <row r="15" spans="1:32" ht="50.1" customHeight="1">
      <c r="A15" s="33" t="s">
        <v>304</v>
      </c>
      <c r="C15" s="30">
        <v>1</v>
      </c>
      <c r="D15" t="s">
        <v>335</v>
      </c>
      <c r="E15" s="31" t="str">
        <f>HYPERLINK("https://shop.sdp-si.com/catalog/product/?id=A_6A55M028DF0912","SDPSI")</f>
        <v>SDPSI</v>
      </c>
      <c r="F15" s="5">
        <v>16.04</v>
      </c>
      <c r="G15" s="5">
        <f>RBA_478910[[#This Row],[Unit Price]]*RBA_478910[[#This Row],[Quantity]]</f>
        <v>16.04</v>
      </c>
      <c r="K15" s="31"/>
    </row>
    <row r="16" spans="1:32" ht="50.1" customHeight="1">
      <c r="A16" s="33" t="s">
        <v>305</v>
      </c>
      <c r="C16" s="30">
        <v>1</v>
      </c>
      <c r="D16" t="s">
        <v>336</v>
      </c>
      <c r="E16" s="31" t="str">
        <f>HYPERLINK("https://bit.ly/3BHYvxY","PolyBelt")</f>
        <v>PolyBelt</v>
      </c>
      <c r="F16" s="5">
        <f>(2.94/(25.4*12)*2125)</f>
        <v>20.497047244094492</v>
      </c>
      <c r="G16" s="5">
        <f>RBA_478910[[#This Row],[Unit Price]]*RBA_478910[[#This Row],[Quantity]]</f>
        <v>20.497047244094492</v>
      </c>
      <c r="H16" t="s">
        <v>337</v>
      </c>
      <c r="I16" t="s">
        <v>338</v>
      </c>
      <c r="J16" t="s">
        <v>339</v>
      </c>
      <c r="K16" s="31" t="str">
        <f>HYPERLINK("https://www.ebay.com/itm/382865666347?var=651553605528","Ebay")</f>
        <v>Ebay</v>
      </c>
    </row>
    <row r="17" spans="1:11" ht="50.1" customHeight="1">
      <c r="A17" s="30" t="s">
        <v>306</v>
      </c>
      <c r="C17" s="30">
        <v>1</v>
      </c>
      <c r="D17" t="s">
        <v>213</v>
      </c>
      <c r="F17" s="34">
        <f>'Mechanical - Carriage Assembly'!L3</f>
        <v>107.97528</v>
      </c>
      <c r="G17" s="5">
        <f>RBA_478910[[#This Row],[Unit Price]]*RBA_478910[[#This Row],[Quantity]]</f>
        <v>107.97528</v>
      </c>
      <c r="H17" t="s">
        <v>342</v>
      </c>
      <c r="K17" s="31"/>
    </row>
    <row r="18" spans="1:11" ht="50.1" customHeight="1">
      <c r="A18" s="30" t="s">
        <v>307</v>
      </c>
      <c r="C18" s="30">
        <v>1</v>
      </c>
      <c r="D18" t="s">
        <v>322</v>
      </c>
      <c r="E18" s="31" t="str">
        <f>HYPERLINK("https://bit.ly/3payYID", "Stepper Online")</f>
        <v>Stepper Online</v>
      </c>
      <c r="F18" s="5">
        <v>1.84</v>
      </c>
      <c r="G18" s="5">
        <f>RBA_478910[[#This Row],[Unit Price]]*RBA_478910[[#This Row],[Quantity]]</f>
        <v>1.84</v>
      </c>
      <c r="H18" t="s">
        <v>341</v>
      </c>
      <c r="K18" s="31"/>
    </row>
    <row r="19" spans="1:11" ht="50.1" customHeight="1">
      <c r="A19" s="30" t="s">
        <v>308</v>
      </c>
      <c r="C19" s="30">
        <v>1</v>
      </c>
      <c r="D19" t="s">
        <v>330</v>
      </c>
      <c r="E19" s="31" t="str">
        <f>HYPERLINK("https://www.digikey.com/en/products/detail/littelfuse-inc/59145-040/4771993","Digikey")</f>
        <v>Digikey</v>
      </c>
      <c r="F19" s="5">
        <v>4.95</v>
      </c>
      <c r="G19" s="5">
        <f>RBA_478910[[#This Row],[Unit Price]]*RBA_478910[[#This Row],[Quantity]]</f>
        <v>4.95</v>
      </c>
      <c r="H19" t="s">
        <v>204</v>
      </c>
      <c r="K19" s="31"/>
    </row>
    <row r="20" spans="1:11" ht="50.1" customHeight="1">
      <c r="A20" s="30" t="s">
        <v>309</v>
      </c>
      <c r="C20" s="30">
        <v>4</v>
      </c>
      <c r="D20" t="s">
        <v>212</v>
      </c>
      <c r="E20" s="31" t="str">
        <f>HYPERLINK("https://amzn.to/35hVTdS","Amazon")</f>
        <v>Amazon</v>
      </c>
      <c r="F20" s="5">
        <v>1.69</v>
      </c>
      <c r="G20" s="5">
        <f>RBA_478910[[#This Row],[Unit Price]]*RBA_478910[[#This Row],[Quantity]]</f>
        <v>6.76</v>
      </c>
      <c r="H20" t="s">
        <v>340</v>
      </c>
      <c r="K20" s="31"/>
    </row>
    <row r="21" spans="1:11" ht="50.1" customHeight="1">
      <c r="A21" s="30" t="s">
        <v>310</v>
      </c>
      <c r="C21" s="30">
        <v>6</v>
      </c>
      <c r="D21" t="s">
        <v>212</v>
      </c>
      <c r="E21" s="31" t="str">
        <f t="shared" ref="E21:E24" si="3">HYPERLINK("https://amzn.to/3p4Z7Zp", "PETG")</f>
        <v>PETG</v>
      </c>
      <c r="F21" s="5">
        <f>0.01899*13</f>
        <v>0.24687000000000001</v>
      </c>
      <c r="G21" s="5">
        <f>RBA_478910[[#This Row],[Unit Price]]*RBA_478910[[#This Row],[Quantity]]</f>
        <v>1.48122</v>
      </c>
      <c r="H21" t="s">
        <v>374</v>
      </c>
      <c r="I21" t="s">
        <v>210</v>
      </c>
      <c r="J21" s="31"/>
      <c r="K21" s="31"/>
    </row>
    <row r="22" spans="1:11" ht="50.1" customHeight="1">
      <c r="A22" s="30" t="s">
        <v>311</v>
      </c>
      <c r="C22" s="30">
        <v>1</v>
      </c>
      <c r="D22" s="31" t="s">
        <v>212</v>
      </c>
      <c r="E22" s="31" t="str">
        <f t="shared" si="3"/>
        <v>PETG</v>
      </c>
      <c r="F22" s="5">
        <f>0.01899*12</f>
        <v>0.22788</v>
      </c>
      <c r="G22" s="5">
        <f>RBA_478910[[#This Row],[Unit Price]]*RBA_478910[[#This Row],[Quantity]]</f>
        <v>0.22788</v>
      </c>
      <c r="H22" t="s">
        <v>373</v>
      </c>
      <c r="I22" t="s">
        <v>210</v>
      </c>
      <c r="J22" s="31"/>
      <c r="K22" s="31"/>
    </row>
    <row r="23" spans="1:11" ht="50.1" customHeight="1">
      <c r="A23" s="30" t="s">
        <v>312</v>
      </c>
      <c r="C23" s="30">
        <v>1</v>
      </c>
      <c r="D23" s="31" t="s">
        <v>212</v>
      </c>
      <c r="E23" s="31" t="str">
        <f t="shared" si="3"/>
        <v>PETG</v>
      </c>
      <c r="F23" s="5">
        <f>0.01899*11</f>
        <v>0.20888999999999999</v>
      </c>
      <c r="G23" s="5">
        <f>RBA_478910[[#This Row],[Unit Price]]*RBA_478910[[#This Row],[Quantity]]</f>
        <v>0.20888999999999999</v>
      </c>
      <c r="H23" t="s">
        <v>372</v>
      </c>
      <c r="I23" t="s">
        <v>210</v>
      </c>
      <c r="J23" s="31"/>
      <c r="K23" s="31"/>
    </row>
    <row r="24" spans="1:11" ht="50.1" customHeight="1">
      <c r="A24" s="30" t="s">
        <v>313</v>
      </c>
      <c r="C24" s="30">
        <v>1</v>
      </c>
      <c r="D24" s="31" t="s">
        <v>212</v>
      </c>
      <c r="E24" s="31" t="str">
        <f t="shared" si="3"/>
        <v>PETG</v>
      </c>
      <c r="F24" s="5">
        <f>0.01899*16</f>
        <v>0.30384</v>
      </c>
      <c r="G24" s="5">
        <f>RBA_478910[[#This Row],[Unit Price]]*RBA_478910[[#This Row],[Quantity]]</f>
        <v>0.30384</v>
      </c>
      <c r="H24" t="s">
        <v>372</v>
      </c>
      <c r="I24" t="s">
        <v>210</v>
      </c>
      <c r="J24" s="31"/>
      <c r="K24" s="31"/>
    </row>
    <row r="25" spans="1:11" ht="50.1" customHeight="1">
      <c r="A25" s="30" t="s">
        <v>314</v>
      </c>
      <c r="C25" s="30">
        <v>1</v>
      </c>
      <c r="D25" t="s">
        <v>330</v>
      </c>
      <c r="E25" s="31" t="str">
        <f>HYPERLINK("https://www.digikey.com/en/products/detail/littelfuse-inc/57145-000/43980","Digikey")</f>
        <v>Digikey</v>
      </c>
      <c r="F25" s="5">
        <v>3.06</v>
      </c>
      <c r="G25" s="5">
        <f>RBA_478910[[#This Row],[Unit Price]]*RBA_478910[[#This Row],[Quantity]]</f>
        <v>3.06</v>
      </c>
      <c r="K25" s="31"/>
    </row>
    <row r="26" spans="1:11" ht="50.1" customHeight="1">
      <c r="A26" s="33" t="s">
        <v>315</v>
      </c>
      <c r="C26" s="30">
        <v>3</v>
      </c>
      <c r="D26" t="s">
        <v>213</v>
      </c>
      <c r="E26" s="31"/>
      <c r="F26" s="5">
        <f>'Mechanical - Bottom_Foot_Assemb'!L3</f>
        <v>6.8655099999999996</v>
      </c>
      <c r="G26" s="5">
        <f>RBA_478910[[#This Row],[Unit Price]]*RBA_478910[[#This Row],[Quantity]]</f>
        <v>20.596529999999998</v>
      </c>
      <c r="H26" t="s">
        <v>359</v>
      </c>
      <c r="K26" s="31"/>
    </row>
    <row r="27" spans="1:11" ht="50.1" customHeight="1">
      <c r="A27" s="30" t="s">
        <v>316</v>
      </c>
      <c r="C27" s="30">
        <v>18</v>
      </c>
      <c r="D27" t="s">
        <v>257</v>
      </c>
      <c r="E27" s="31" t="str">
        <f>HYPERLINK("https://www.mcmaster.com/92095A207/", "McMaster")</f>
        <v>McMaster</v>
      </c>
      <c r="F27" s="5">
        <f>16.33/100</f>
        <v>0.16329999999999997</v>
      </c>
      <c r="G27" s="5">
        <f>RBA_478910[[#This Row],[Unit Price]]*RBA_478910[[#This Row],[Quantity]]</f>
        <v>2.9393999999999996</v>
      </c>
      <c r="H27" t="s">
        <v>360</v>
      </c>
      <c r="K27" s="31"/>
    </row>
    <row r="28" spans="1:11" ht="50.1" customHeight="1">
      <c r="A28" s="30" t="s">
        <v>317</v>
      </c>
      <c r="C28" s="30">
        <v>8</v>
      </c>
      <c r="D28" t="s">
        <v>257</v>
      </c>
      <c r="E28" s="31" t="str">
        <f>HYPERLINK("https://www.mcmaster.com/92095A210/", "McMaster")</f>
        <v>McMaster</v>
      </c>
      <c r="F28" s="5">
        <f>10.01/50</f>
        <v>0.20019999999999999</v>
      </c>
      <c r="G28" s="5">
        <f>RBA_478910[[#This Row],[Unit Price]]*RBA_478910[[#This Row],[Quantity]]</f>
        <v>1.6015999999999999</v>
      </c>
      <c r="H28" t="s">
        <v>361</v>
      </c>
      <c r="K28" s="31"/>
    </row>
    <row r="29" spans="1:11" ht="50.1" customHeight="1">
      <c r="A29" s="30" t="s">
        <v>318</v>
      </c>
      <c r="C29" s="30">
        <v>1</v>
      </c>
      <c r="D29" t="s">
        <v>257</v>
      </c>
      <c r="E29" s="31" t="str">
        <f>HYPERLINK("https://www.mcmaster.com/92095A216/", "McMaster")</f>
        <v>McMaster</v>
      </c>
      <c r="F29" s="5">
        <f>7.64/25</f>
        <v>0.30559999999999998</v>
      </c>
      <c r="G29" s="5">
        <f>RBA_478910[[#This Row],[Unit Price]]*RBA_478910[[#This Row],[Quantity]]</f>
        <v>0.30559999999999998</v>
      </c>
      <c r="H29" t="s">
        <v>346</v>
      </c>
      <c r="K29" s="31"/>
    </row>
    <row r="30" spans="1:11" ht="50.1" customHeight="1">
      <c r="A30" s="30" t="s">
        <v>319</v>
      </c>
      <c r="C30" s="30">
        <v>4</v>
      </c>
      <c r="D30" t="s">
        <v>257</v>
      </c>
      <c r="E30" s="31" t="str">
        <f>HYPERLINK("https://www.mcmaster.com/94500A227/", "McMaster")</f>
        <v>McMaster</v>
      </c>
      <c r="F30" s="5">
        <f>15.4/100</f>
        <v>0.154</v>
      </c>
      <c r="G30" s="5">
        <f>RBA_478910[[#This Row],[Unit Price]]*RBA_478910[[#This Row],[Quantity]]</f>
        <v>0.61599999999999999</v>
      </c>
      <c r="H30" t="s">
        <v>347</v>
      </c>
    </row>
    <row r="31" spans="1:11" ht="50.1" customHeight="1">
      <c r="A31" s="30" t="s">
        <v>320</v>
      </c>
      <c r="C31" s="30">
        <v>2</v>
      </c>
      <c r="D31" t="s">
        <v>212</v>
      </c>
      <c r="E31" s="31" t="str">
        <f t="shared" ref="E31" si="4">HYPERLINK("https://amzn.to/3p4Z7Zp", "PETG")</f>
        <v>PETG</v>
      </c>
      <c r="F31" s="5">
        <f>0.01899*25</f>
        <v>0.47475000000000001</v>
      </c>
      <c r="G31" s="5">
        <f>RBA_478910[[#This Row],[Unit Price]]*RBA_478910[[#This Row],[Quantity]]</f>
        <v>0.94950000000000001</v>
      </c>
      <c r="H31" t="s">
        <v>262</v>
      </c>
      <c r="I31" t="s">
        <v>210</v>
      </c>
      <c r="K31" s="31"/>
    </row>
    <row r="32" spans="1:11" ht="50.1" customHeight="1">
      <c r="A32" s="30" t="s">
        <v>238</v>
      </c>
      <c r="C32" s="30">
        <v>4</v>
      </c>
      <c r="D32" t="s">
        <v>257</v>
      </c>
      <c r="E32" s="31" t="str">
        <f>HYPERLINK("https://www.mcmaster.com/92095A208/", "McMaster")</f>
        <v>McMaster</v>
      </c>
      <c r="F32" s="5">
        <f>16.33/100</f>
        <v>0.16329999999999997</v>
      </c>
      <c r="G32" s="5">
        <f>RBA_478910[[#This Row],[Unit Price]]*RBA_478910[[#This Row],[Quantity]]</f>
        <v>0.65319999999999989</v>
      </c>
      <c r="H32" t="s">
        <v>273</v>
      </c>
      <c r="I32" t="s">
        <v>274</v>
      </c>
      <c r="J32" t="s">
        <v>212</v>
      </c>
      <c r="K32" s="31" t="str">
        <f>HYPERLINK("https://amzn.to/3I9bwDb", "Amazon")</f>
        <v>Amazon</v>
      </c>
    </row>
    <row r="33" spans="1:11" ht="50.1" customHeight="1">
      <c r="A33" s="30" t="s">
        <v>239</v>
      </c>
      <c r="C33" s="30">
        <v>19</v>
      </c>
      <c r="D33" t="s">
        <v>212</v>
      </c>
      <c r="E33" s="31" t="str">
        <f>HYPERLINK("https://amzn.to/3I8VKIx", "Amazon")</f>
        <v>Amazon</v>
      </c>
      <c r="F33" s="5">
        <f>10.99/50</f>
        <v>0.2198</v>
      </c>
      <c r="G33" s="5">
        <f>RBA_478910[[#This Row],[Unit Price]]*RBA_478910[[#This Row],[Quantity]]</f>
        <v>4.1761999999999997</v>
      </c>
      <c r="H33" t="s">
        <v>275</v>
      </c>
      <c r="I33" t="s">
        <v>276</v>
      </c>
      <c r="J33" t="s">
        <v>257</v>
      </c>
      <c r="K33" s="31" t="str">
        <f>HYPERLINK("https://www.mcmaster.com/90510A232/", "McMaster")</f>
        <v>McMaster</v>
      </c>
    </row>
    <row r="34" spans="1:11" ht="50.1" customHeight="1">
      <c r="A34" s="30" t="s">
        <v>256</v>
      </c>
      <c r="C34" s="30">
        <v>1</v>
      </c>
      <c r="D34" t="s">
        <v>257</v>
      </c>
      <c r="E34" s="31" t="str">
        <f>HYPERLINK("https://www.mcmaster.com/90591A260/", "McMaster")</f>
        <v>McMaster</v>
      </c>
      <c r="F34" s="5">
        <f>3.56/100</f>
        <v>3.56E-2</v>
      </c>
      <c r="G34" s="5">
        <f>RBA_478910[[#This Row],[Unit Price]]*RBA_478910[[#This Row],[Quantity]]</f>
        <v>3.56E-2</v>
      </c>
      <c r="H34" t="s">
        <v>263</v>
      </c>
      <c r="I34" t="s">
        <v>269</v>
      </c>
      <c r="K34" s="31" t="str">
        <f>HYPERLINK("https://amzn.to/3v5pm5K", "Amazon")</f>
        <v>Amazon</v>
      </c>
    </row>
    <row r="35" spans="1:11" ht="50.1" customHeight="1">
      <c r="A35" t="s">
        <v>362</v>
      </c>
      <c r="B35" t="s">
        <v>363</v>
      </c>
      <c r="C35">
        <v>1</v>
      </c>
      <c r="D35" t="s">
        <v>336</v>
      </c>
      <c r="E35" s="31" t="str">
        <f>HYPERLINK("https://shop.polybelt.com/650-5m-09-Urethane-Steel-Timing-Belt-130-Tooth-B650-5M-09CPS.htm", "PolyBelt")</f>
        <v>PolyBelt</v>
      </c>
      <c r="F35" s="5">
        <v>13.5</v>
      </c>
      <c r="G35" s="5">
        <f>RBA_478910[[#This Row],[Unit Price]]*RBA_478910[[#This Row],[Quantity]]</f>
        <v>13.5</v>
      </c>
      <c r="H35" t="s">
        <v>364</v>
      </c>
      <c r="K35" s="31"/>
    </row>
    <row r="36" spans="1:11" ht="50.1" customHeight="1">
      <c r="F36" s="5"/>
    </row>
    <row r="37" spans="1:11" ht="50.1" customHeight="1">
      <c r="F37" s="5"/>
    </row>
    <row r="38" spans="1:11" ht="50.1" customHeight="1">
      <c r="F38" s="5"/>
    </row>
    <row r="39" spans="1:11" ht="50.1" customHeight="1">
      <c r="F39" s="5"/>
    </row>
    <row r="40" spans="1:11" ht="50.1" customHeight="1">
      <c r="F40" s="5"/>
    </row>
    <row r="41" spans="1:11" ht="50.1" customHeight="1">
      <c r="F41" s="5"/>
    </row>
    <row r="42" spans="1:11" ht="50.1" customHeight="1">
      <c r="F42" s="5"/>
    </row>
    <row r="43" spans="1:11" ht="50.1" customHeight="1">
      <c r="F43" s="5"/>
    </row>
  </sheetData>
  <mergeCells count="1">
    <mergeCell ref="A1:O1"/>
  </mergeCells>
  <conditionalFormatting sqref="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 F12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10 F12:F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25:F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35 F25:F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D61D-F9D2-4804-993E-5F65E31FCDDD}">
  <dimension ref="A1:AF23"/>
  <sheetViews>
    <sheetView workbookViewId="0">
      <selection activeCell="I5" sqref="I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410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3" t="s">
        <v>294</v>
      </c>
      <c r="C3" s="33">
        <v>1</v>
      </c>
      <c r="D3" t="s">
        <v>213</v>
      </c>
      <c r="F3" s="5">
        <f>'Electrical '!I52</f>
        <v>34.43</v>
      </c>
      <c r="G3" s="5">
        <f>RBA_47816[[#This Row],[Unit Price]]*RBA_47816[[#This Row],[Quantity]]</f>
        <v>34.43</v>
      </c>
      <c r="H3" t="s">
        <v>429</v>
      </c>
      <c r="K3" s="31"/>
      <c r="L3" s="7">
        <f>SUM(RBA_47816[Extended Price])</f>
        <v>216.04758333333342</v>
      </c>
    </row>
    <row r="4" spans="1:32" ht="50.1" customHeight="1">
      <c r="A4" s="33" t="s">
        <v>411</v>
      </c>
      <c r="C4" s="33">
        <v>1</v>
      </c>
      <c r="D4" t="s">
        <v>206</v>
      </c>
      <c r="E4" s="31" t="str">
        <f>HYPERLINK("https://developer.nvidia.com/embedded/jetson-nano-2gb-developer-kit","Nvidia")</f>
        <v>Nvidia</v>
      </c>
      <c r="F4" s="5">
        <v>59.99</v>
      </c>
      <c r="G4" s="5">
        <f>RBA_47816[[#This Row],[Unit Price]]*RBA_47816[[#This Row],[Quantity]]</f>
        <v>59.99</v>
      </c>
      <c r="K4" s="31"/>
    </row>
    <row r="5" spans="1:32" ht="50.1" customHeight="1">
      <c r="A5" s="33" t="s">
        <v>412</v>
      </c>
      <c r="C5" s="33">
        <v>1</v>
      </c>
      <c r="D5" t="s">
        <v>212</v>
      </c>
      <c r="E5" s="31" t="str">
        <f>HYPERLINK("https://amzn.to/3t85BIe","Amazon")</f>
        <v>Amazon</v>
      </c>
      <c r="F5" s="5">
        <f>7.99/2</f>
        <v>3.9950000000000001</v>
      </c>
      <c r="G5" s="5">
        <f>RBA_47816[[#This Row],[Unit Price]]*RBA_47816[[#This Row],[Quantity]]</f>
        <v>3.9950000000000001</v>
      </c>
      <c r="K5" s="31"/>
    </row>
    <row r="6" spans="1:32" ht="50.1" customHeight="1">
      <c r="A6" s="33" t="s">
        <v>413</v>
      </c>
      <c r="C6" s="33">
        <v>1</v>
      </c>
      <c r="D6" t="s">
        <v>430</v>
      </c>
      <c r="E6" s="31" t="str">
        <f>HYPERLINK("https://bit.ly/3pgw6dg","Seahorse")</f>
        <v>Seahorse</v>
      </c>
      <c r="F6" s="5">
        <v>27.21</v>
      </c>
      <c r="G6" s="5">
        <f>RBA_47816[[#This Row],[Unit Price]]*RBA_47816[[#This Row],[Quantity]]</f>
        <v>27.21</v>
      </c>
      <c r="K6" s="31"/>
    </row>
    <row r="7" spans="1:32" ht="50.1" customHeight="1">
      <c r="A7" s="33" t="s">
        <v>414</v>
      </c>
      <c r="C7" s="33">
        <v>6</v>
      </c>
      <c r="D7" t="s">
        <v>212</v>
      </c>
      <c r="E7" s="31" t="str">
        <f>HYPERLINK("https://amzn.to/3JW5hmK","Amazon")</f>
        <v>Amazon</v>
      </c>
      <c r="F7" s="5">
        <f>26.99/5</f>
        <v>5.3979999999999997</v>
      </c>
      <c r="G7" s="5">
        <f>RBA_47816[[#This Row],[Unit Price]]*RBA_47816[[#This Row],[Quantity]]</f>
        <v>32.387999999999998</v>
      </c>
      <c r="K7" s="31"/>
    </row>
    <row r="8" spans="1:32" ht="50.1" customHeight="1">
      <c r="A8" s="33" t="s">
        <v>415</v>
      </c>
      <c r="C8" s="33">
        <v>1</v>
      </c>
      <c r="D8" t="s">
        <v>212</v>
      </c>
      <c r="E8" s="31" t="str">
        <f>HYPERLINK("https://amzn.to/3JNUvPk", "Amazon")</f>
        <v>Amazon</v>
      </c>
      <c r="F8" s="5">
        <v>28.49</v>
      </c>
      <c r="G8" s="5">
        <f>RBA_47816[[#This Row],[Unit Price]]*RBA_47816[[#This Row],[Quantity]]</f>
        <v>28.49</v>
      </c>
      <c r="K8" s="31"/>
    </row>
    <row r="9" spans="1:32" ht="50.1" customHeight="1">
      <c r="A9" s="33" t="s">
        <v>416</v>
      </c>
      <c r="C9" s="33">
        <v>2</v>
      </c>
      <c r="D9" t="s">
        <v>212</v>
      </c>
      <c r="E9" s="31" t="str">
        <f>HYPERLINK("https://amzn.to/3p4Z7Zp", "PETG")</f>
        <v>PETG</v>
      </c>
      <c r="F9" s="5">
        <f>0.01899*14</f>
        <v>0.26585999999999999</v>
      </c>
      <c r="G9" s="5">
        <f>RBA_47816[[#This Row],[Unit Price]]*RBA_47816[[#This Row],[Quantity]]</f>
        <v>0.53171999999999997</v>
      </c>
      <c r="H9" t="s">
        <v>434</v>
      </c>
      <c r="K9" s="31"/>
    </row>
    <row r="10" spans="1:32" ht="50.1" customHeight="1">
      <c r="A10" s="33" t="s">
        <v>417</v>
      </c>
      <c r="C10" s="33">
        <v>1</v>
      </c>
      <c r="D10" t="s">
        <v>212</v>
      </c>
      <c r="E10" s="31" t="str">
        <f>HYPERLINK("https://amzn.to/3M5yQ72", "Amazon")</f>
        <v>Amazon</v>
      </c>
      <c r="F10" s="5">
        <f>13.99/2</f>
        <v>6.9950000000000001</v>
      </c>
      <c r="G10" s="5">
        <f>RBA_47816[[#This Row],[Unit Price]]*RBA_47816[[#This Row],[Quantity]]</f>
        <v>6.9950000000000001</v>
      </c>
      <c r="K10" s="31"/>
    </row>
    <row r="11" spans="1:32" ht="50.1" customHeight="1">
      <c r="A11" s="33" t="s">
        <v>418</v>
      </c>
      <c r="C11" s="33">
        <v>1</v>
      </c>
      <c r="D11" t="s">
        <v>212</v>
      </c>
      <c r="E11" s="31" t="str">
        <f>HYPERLINK("https://amzn.to/35rtwKr", "Amazon")</f>
        <v>Amazon</v>
      </c>
      <c r="F11" s="5">
        <v>11.99</v>
      </c>
      <c r="G11" s="5">
        <f>RBA_47816[[#This Row],[Unit Price]]*RBA_47816[[#This Row],[Quantity]]</f>
        <v>11.99</v>
      </c>
      <c r="K11" s="31"/>
    </row>
    <row r="12" spans="1:32" ht="50.1" customHeight="1">
      <c r="A12" s="33" t="s">
        <v>419</v>
      </c>
      <c r="C12" s="33">
        <v>1</v>
      </c>
      <c r="D12" t="s">
        <v>212</v>
      </c>
      <c r="E12" s="31" t="str">
        <f>HYPERLINK("https://amzn.to/3p4Z7Zp", "PETG")</f>
        <v>PETG</v>
      </c>
      <c r="F12" s="5">
        <f>0.01899*27</f>
        <v>0.51273000000000002</v>
      </c>
      <c r="G12" s="5">
        <f>RBA_47816[[#This Row],[Unit Price]]*RBA_47816[[#This Row],[Quantity]]</f>
        <v>0.51273000000000002</v>
      </c>
      <c r="H12" t="s">
        <v>287</v>
      </c>
      <c r="I12" t="s">
        <v>246</v>
      </c>
      <c r="J12" t="s">
        <v>212</v>
      </c>
      <c r="K12" s="31"/>
    </row>
    <row r="13" spans="1:32" ht="50.1" customHeight="1">
      <c r="A13" s="33" t="s">
        <v>420</v>
      </c>
      <c r="C13" s="33">
        <v>4</v>
      </c>
      <c r="D13" t="s">
        <v>212</v>
      </c>
      <c r="E13" s="31" t="str">
        <f>HYPERLINK("https://amzn.to/35x7YMk","Amazon")</f>
        <v>Amazon</v>
      </c>
      <c r="F13" s="5">
        <f>15.99/200</f>
        <v>7.9950000000000007E-2</v>
      </c>
      <c r="G13" s="5">
        <f>RBA_47816[[#This Row],[Unit Price]]*RBA_47816[[#This Row],[Quantity]]</f>
        <v>0.31980000000000003</v>
      </c>
      <c r="K13" s="31"/>
    </row>
    <row r="14" spans="1:32" ht="50.1" customHeight="1">
      <c r="A14" s="33" t="s">
        <v>421</v>
      </c>
      <c r="C14" s="33">
        <v>8</v>
      </c>
      <c r="D14" t="s">
        <v>212</v>
      </c>
      <c r="E14" s="31" t="str">
        <f>HYPERLINK("https://amzn.to/359tuHm", "Amazon")</f>
        <v>Amazon</v>
      </c>
      <c r="F14" s="5">
        <f>6.99/50</f>
        <v>0.13980000000000001</v>
      </c>
      <c r="G14" s="5">
        <f>RBA_47816[[#This Row],[Unit Price]]*RBA_47816[[#This Row],[Quantity]]</f>
        <v>1.1184000000000001</v>
      </c>
      <c r="K14" s="31"/>
    </row>
    <row r="15" spans="1:32" ht="50.1" customHeight="1">
      <c r="A15" s="33" t="s">
        <v>422</v>
      </c>
      <c r="C15" s="33">
        <v>4</v>
      </c>
      <c r="D15" t="s">
        <v>212</v>
      </c>
      <c r="E15" s="31" t="str">
        <f>HYPERLINK("https://amzn.to/3HoIvlN", "Amazon")</f>
        <v>Amazon</v>
      </c>
      <c r="F15" s="5">
        <f>9.79/30</f>
        <v>0.32633333333333331</v>
      </c>
      <c r="G15" s="5">
        <f>RBA_47816[[#This Row],[Unit Price]]*RBA_47816[[#This Row],[Quantity]]</f>
        <v>1.3053333333333332</v>
      </c>
      <c r="K15" s="31"/>
    </row>
    <row r="16" spans="1:32" ht="50.1" customHeight="1">
      <c r="A16" s="33" t="s">
        <v>423</v>
      </c>
      <c r="C16" s="33">
        <v>1</v>
      </c>
      <c r="D16" t="s">
        <v>212</v>
      </c>
      <c r="E16" s="31" t="str">
        <f>HYPERLINK("https://amzn.to/3p4Z7Zp", "PETG")</f>
        <v>PETG</v>
      </c>
      <c r="F16" s="5">
        <f>0.01899*43</f>
        <v>0.81657000000000002</v>
      </c>
      <c r="G16" s="5">
        <f>RBA_47816[[#This Row],[Unit Price]]*RBA_47816[[#This Row],[Quantity]]</f>
        <v>0.81657000000000002</v>
      </c>
      <c r="H16" t="s">
        <v>432</v>
      </c>
      <c r="K16" s="31"/>
    </row>
    <row r="17" spans="1:11" ht="50.1" customHeight="1">
      <c r="A17" s="33" t="s">
        <v>424</v>
      </c>
      <c r="C17" s="33">
        <v>1</v>
      </c>
      <c r="D17" t="s">
        <v>212</v>
      </c>
      <c r="E17" s="31" t="str">
        <f>HYPERLINK("https://amzn.to/3p4Z7Zp", "PETG")</f>
        <v>PETG</v>
      </c>
      <c r="F17" s="5">
        <f>0.01899*43</f>
        <v>0.81657000000000002</v>
      </c>
      <c r="G17" s="5">
        <f>RBA_47816[[#This Row],[Unit Price]]*RBA_47816[[#This Row],[Quantity]]</f>
        <v>0.81657000000000002</v>
      </c>
      <c r="H17" t="s">
        <v>433</v>
      </c>
      <c r="K17" s="31"/>
    </row>
    <row r="18" spans="1:11" ht="50.1" customHeight="1">
      <c r="A18" s="33" t="s">
        <v>425</v>
      </c>
      <c r="C18" s="33">
        <v>14</v>
      </c>
      <c r="D18" t="s">
        <v>257</v>
      </c>
      <c r="E18" s="31" t="str">
        <f>HYPERLINK("https://www.mcmaster.com/94500A223/", "McMaster")</f>
        <v>McMaster</v>
      </c>
      <c r="F18">
        <f>10.68/100</f>
        <v>0.10679999999999999</v>
      </c>
      <c r="G18" s="5">
        <f>RBA_47816[[#This Row],[Unit Price]]*RBA_47816[[#This Row],[Quantity]]</f>
        <v>1.4951999999999999</v>
      </c>
      <c r="K18" s="31"/>
    </row>
    <row r="19" spans="1:11" ht="50.1" customHeight="1">
      <c r="A19" s="33" t="s">
        <v>426</v>
      </c>
      <c r="C19" s="33">
        <v>2</v>
      </c>
      <c r="D19" t="s">
        <v>212</v>
      </c>
      <c r="E19" s="31" t="str">
        <f>HYPERLINK("https://amzn.to/3pifPEE", "Amazon")</f>
        <v>Amazon</v>
      </c>
      <c r="F19" s="5">
        <f>8.09/25</f>
        <v>0.3236</v>
      </c>
      <c r="G19" s="5">
        <f>RBA_47816[[#This Row],[Unit Price]]*RBA_47816[[#This Row],[Quantity]]</f>
        <v>0.6472</v>
      </c>
      <c r="K19" s="31"/>
    </row>
    <row r="20" spans="1:11" ht="50.1" customHeight="1">
      <c r="A20" s="33" t="s">
        <v>427</v>
      </c>
      <c r="C20" s="33">
        <v>2</v>
      </c>
      <c r="D20" t="s">
        <v>212</v>
      </c>
      <c r="E20" s="31" t="str">
        <f>HYPERLINK("https://amzn.to/3p4Z7Zp", "PETG")</f>
        <v>PETG</v>
      </c>
      <c r="F20" s="5">
        <f>0.01899*27</f>
        <v>0.51273000000000002</v>
      </c>
      <c r="G20" s="5">
        <f>RBA_47816[[#This Row],[Unit Price]]*RBA_47816[[#This Row],[Quantity]]</f>
        <v>1.02546</v>
      </c>
      <c r="H20" t="s">
        <v>287</v>
      </c>
      <c r="K20" s="31"/>
    </row>
    <row r="21" spans="1:11" ht="50.1" customHeight="1">
      <c r="A21" s="33" t="s">
        <v>428</v>
      </c>
      <c r="C21" s="33">
        <v>4</v>
      </c>
      <c r="D21" t="s">
        <v>212</v>
      </c>
      <c r="E21" s="31" t="str">
        <f>HYPERLINK("https://amzn.to/3slfva4", "Amazon")</f>
        <v>Amazon</v>
      </c>
      <c r="F21" s="5">
        <f>9.49/100</f>
        <v>9.4899999999999998E-2</v>
      </c>
      <c r="G21" s="5">
        <f>RBA_47816[[#This Row],[Unit Price]]*RBA_47816[[#This Row],[Quantity]]</f>
        <v>0.37959999999999999</v>
      </c>
      <c r="K21" s="31"/>
    </row>
    <row r="22" spans="1:11" ht="50.1" customHeight="1">
      <c r="A22" s="33" t="s">
        <v>395</v>
      </c>
      <c r="C22" s="33">
        <v>2</v>
      </c>
      <c r="D22" t="s">
        <v>257</v>
      </c>
      <c r="E22" s="31" t="str">
        <f>HYPERLINK("https://www.mcmaster.com/92095A216/", "McMaster")</f>
        <v>McMaster</v>
      </c>
      <c r="F22" s="5">
        <f>7.64/25</f>
        <v>0.30559999999999998</v>
      </c>
      <c r="G22" s="5">
        <f>RBA_47816[[#This Row],[Unit Price]]*RBA_47816[[#This Row],[Quantity]]</f>
        <v>0.61119999999999997</v>
      </c>
      <c r="H22" t="s">
        <v>346</v>
      </c>
      <c r="K22" s="31"/>
    </row>
    <row r="23" spans="1:11" ht="50.1" customHeight="1">
      <c r="A23" s="33" t="s">
        <v>238</v>
      </c>
      <c r="C23" s="33">
        <v>6</v>
      </c>
      <c r="D23" t="s">
        <v>257</v>
      </c>
      <c r="E23" s="31" t="str">
        <f>HYPERLINK("https://www.mcmaster.com/92095A208/", "McMaster")</f>
        <v>McMaster</v>
      </c>
      <c r="F23" s="5">
        <f>16.33/100</f>
        <v>0.16329999999999997</v>
      </c>
      <c r="G23" s="5">
        <f>RBA_47816[[#This Row],[Unit Price]]*RBA_47816[[#This Row],[Quantity]]</f>
        <v>0.97979999999999978</v>
      </c>
      <c r="H23" t="s">
        <v>273</v>
      </c>
      <c r="I23" t="s">
        <v>274</v>
      </c>
      <c r="J23" t="s">
        <v>212</v>
      </c>
      <c r="K23" s="31" t="str">
        <f>HYPERLINK("https://amzn.to/3I9bwDb", "Amazon")</f>
        <v>Amazon</v>
      </c>
    </row>
  </sheetData>
  <mergeCells count="1">
    <mergeCell ref="A1:O1"/>
  </mergeCells>
  <conditionalFormatting sqref="F18:F19 F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 F18:F19 F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 F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 F10: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82A-8476-4336-B4EB-9B033A2A00A7}">
  <dimension ref="A1:AF22"/>
  <sheetViews>
    <sheetView workbookViewId="0">
      <selection activeCell="H8" sqref="H8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365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367</v>
      </c>
      <c r="C3" s="30">
        <f>Overall!N9+1</f>
        <v>1</v>
      </c>
      <c r="D3" t="s">
        <v>213</v>
      </c>
      <c r="E3" s="31"/>
      <c r="F3" s="5">
        <f>'Mechanical - Top_Rail_Section'!L3</f>
        <v>60.720000000000006</v>
      </c>
      <c r="G3" s="5">
        <f>RBA_4789115[[#This Row],[Unit Price]]*RBA_4789115[[#This Row],[Quantity]]</f>
        <v>60.720000000000006</v>
      </c>
      <c r="H3" t="s">
        <v>356</v>
      </c>
      <c r="K3" s="31"/>
      <c r="L3" s="7">
        <f>SUM(RBA_4789115[Extended Price])</f>
        <v>261.02616</v>
      </c>
    </row>
    <row r="4" spans="1:32" ht="50.1" customHeight="1">
      <c r="A4" s="30" t="s">
        <v>313</v>
      </c>
      <c r="C4" s="30">
        <v>1</v>
      </c>
      <c r="D4" s="31" t="s">
        <v>212</v>
      </c>
      <c r="E4" s="31" t="str">
        <f t="shared" ref="E4" si="0">HYPERLINK("https://amzn.to/3p4Z7Zp", "PETG")</f>
        <v>PETG</v>
      </c>
      <c r="F4" s="5">
        <f>0.01899*16</f>
        <v>0.30384</v>
      </c>
      <c r="G4" s="5">
        <f>RBA_4789115[[#This Row],[Unit Price]]*RBA_4789115[[#This Row],[Quantity]]</f>
        <v>0.30384</v>
      </c>
      <c r="H4" t="s">
        <v>372</v>
      </c>
      <c r="I4" t="s">
        <v>210</v>
      </c>
      <c r="J4" s="31"/>
      <c r="K4" s="31"/>
    </row>
    <row r="5" spans="1:32" ht="50.1" customHeight="1">
      <c r="A5" s="30" t="s">
        <v>308</v>
      </c>
      <c r="C5" s="30">
        <v>1</v>
      </c>
      <c r="D5" t="s">
        <v>330</v>
      </c>
      <c r="E5" s="31" t="str">
        <f>HYPERLINK("https://www.digikey.com/en/products/detail/littelfuse-inc/59145-040/4771993","Digikey")</f>
        <v>Digikey</v>
      </c>
      <c r="F5" s="5">
        <v>4.95</v>
      </c>
      <c r="G5" s="5">
        <f>RBA_4789115[[#This Row],[Unit Price]]*RBA_4789115[[#This Row],[Quantity]]</f>
        <v>4.95</v>
      </c>
      <c r="H5" t="s">
        <v>204</v>
      </c>
      <c r="K5" s="31"/>
    </row>
    <row r="6" spans="1:32" ht="50.1" customHeight="1">
      <c r="A6" s="30" t="s">
        <v>368</v>
      </c>
      <c r="C6" s="30">
        <v>1</v>
      </c>
      <c r="D6" t="s">
        <v>212</v>
      </c>
      <c r="E6" s="31" t="str">
        <f>HYPERLINK("https://amzn.to/3pcFWwW", "Amazon")</f>
        <v>Amazon</v>
      </c>
      <c r="F6" s="5">
        <f>16.99/(10000) * 2000 * C3</f>
        <v>3.3979999999999997</v>
      </c>
      <c r="G6" s="5">
        <f>RBA_4789115[[#This Row],[Unit Price]]*RBA_4789115[[#This Row],[Quantity]]</f>
        <v>3.3979999999999997</v>
      </c>
      <c r="H6" t="s">
        <v>353</v>
      </c>
      <c r="I6" t="s">
        <v>269</v>
      </c>
      <c r="J6" t="s">
        <v>212</v>
      </c>
      <c r="K6" s="31" t="str">
        <f>HYPERLINK("https://amzn.to/35ijWtt", "Amazon")</f>
        <v>Amazon</v>
      </c>
    </row>
    <row r="7" spans="1:32" ht="50.1" customHeight="1">
      <c r="A7" s="30" t="s">
        <v>369</v>
      </c>
      <c r="C7" s="30">
        <v>10</v>
      </c>
      <c r="D7" s="31" t="s">
        <v>212</v>
      </c>
      <c r="E7" s="31" t="str">
        <f t="shared" ref="E7" si="1">HYPERLINK("https://amzn.to/3p4Z7Zp", "PETG")</f>
        <v>PETG</v>
      </c>
      <c r="F7" s="5">
        <f>0.01899*13</f>
        <v>0.24687000000000001</v>
      </c>
      <c r="G7" s="5">
        <f>RBA_4789115[[#This Row],[Unit Price]]*RBA_4789115[[#This Row],[Quantity]]</f>
        <v>2.4687000000000001</v>
      </c>
      <c r="H7" t="s">
        <v>375</v>
      </c>
      <c r="I7" t="s">
        <v>210</v>
      </c>
      <c r="J7" s="31"/>
      <c r="K7" s="31" t="str">
        <f>HYPERLINK("https://amzn.to/3JKgFBP","Amazon")</f>
        <v>Amazon</v>
      </c>
    </row>
    <row r="8" spans="1:32" ht="50.1" customHeight="1">
      <c r="A8" s="30" t="s">
        <v>370</v>
      </c>
      <c r="C8" s="30">
        <v>1</v>
      </c>
      <c r="D8" t="s">
        <v>213</v>
      </c>
      <c r="E8" s="31"/>
      <c r="F8" s="5">
        <f>'Mechanical - Yaxis_Carriage'!L3</f>
        <v>189.18561999999997</v>
      </c>
      <c r="G8" s="5">
        <f>RBA_4789115[[#This Row],[Unit Price]]*RBA_4789115[[#This Row],[Quantity]]</f>
        <v>189.18561999999997</v>
      </c>
      <c r="K8" s="31"/>
    </row>
    <row r="9" spans="1:32" ht="50.1" customHeight="1">
      <c r="A9" s="30"/>
      <c r="C9" s="30"/>
      <c r="E9" s="31"/>
      <c r="F9" s="5"/>
      <c r="G9" s="5"/>
      <c r="K9" s="31"/>
    </row>
    <row r="10" spans="1:32" ht="50.1" customHeight="1">
      <c r="A10" s="30"/>
      <c r="C10" s="30"/>
      <c r="E10" s="31"/>
      <c r="F10" s="5"/>
      <c r="G10" s="5"/>
      <c r="K10" s="31"/>
    </row>
    <row r="11" spans="1:32" ht="50.1" customHeight="1">
      <c r="A11" s="30"/>
      <c r="C11" s="30"/>
      <c r="E11" s="31"/>
      <c r="F11" s="5"/>
      <c r="G11" s="5"/>
      <c r="K11" s="31"/>
    </row>
    <row r="12" spans="1:32" ht="50.1" customHeight="1">
      <c r="A12" s="30"/>
      <c r="C12" s="30"/>
      <c r="E12" s="31"/>
      <c r="F12" s="5"/>
      <c r="G12" s="5"/>
      <c r="K12" s="31"/>
    </row>
    <row r="13" spans="1:32" ht="50.1" customHeight="1">
      <c r="A13" s="30"/>
      <c r="C13" s="30"/>
      <c r="E13" s="31"/>
      <c r="F13" s="5"/>
      <c r="G13" s="5"/>
      <c r="K13" s="31"/>
    </row>
    <row r="14" spans="1:32" ht="50.1" customHeight="1">
      <c r="A14" s="30"/>
      <c r="C14" s="30"/>
      <c r="E14" s="31"/>
      <c r="F14" s="5"/>
      <c r="G14" s="5"/>
      <c r="K14" s="31"/>
    </row>
    <row r="15" spans="1:32" ht="50.1" customHeight="1">
      <c r="A15" s="30"/>
      <c r="C15" s="30"/>
      <c r="E15" s="31"/>
      <c r="F15" s="5"/>
      <c r="G15" s="5"/>
      <c r="K15" s="31"/>
    </row>
    <row r="16" spans="1:32" ht="50.1" customHeight="1">
      <c r="A16" s="30"/>
      <c r="C16" s="30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 t="s">
        <v>203</v>
      </c>
      <c r="B22" s="39"/>
      <c r="C22" s="39"/>
      <c r="D22" s="39"/>
      <c r="E22" s="39"/>
      <c r="F22" s="39"/>
      <c r="G22" s="39"/>
      <c r="H22" s="39"/>
      <c r="I22" s="5">
        <f>SUM(RBA_4789115[Extended Price])</f>
        <v>261.02616</v>
      </c>
    </row>
  </sheetData>
  <mergeCells count="2">
    <mergeCell ref="A1:O1"/>
    <mergeCell ref="A22:H22"/>
  </mergeCells>
  <conditionalFormatting sqref="G18:G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topLeftCell="A7" workbookViewId="0">
      <selection activeCell="D10" sqref="D10:K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226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232</v>
      </c>
      <c r="C3" s="30">
        <v>1</v>
      </c>
      <c r="D3">
        <v>8020</v>
      </c>
      <c r="E3" s="31" t="str">
        <f>HYPERLINK("https://8020.net/20-2040.html", "20-2040")</f>
        <v>20-2040</v>
      </c>
      <c r="F3" s="5">
        <f>0.0149*150 + 2.51</f>
        <v>4.7449999999999992</v>
      </c>
      <c r="G3" s="5">
        <f>RBA_4[[#This Row],[Unit Price]]*RBA_4[[#This Row],[Quantity]]</f>
        <v>4.7449999999999992</v>
      </c>
      <c r="H3" t="s">
        <v>245</v>
      </c>
      <c r="I3" t="s">
        <v>246</v>
      </c>
      <c r="J3" t="s">
        <v>212</v>
      </c>
      <c r="K3" s="31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107.97528</v>
      </c>
    </row>
    <row r="4" spans="1:32" ht="50.1" customHeight="1">
      <c r="A4" s="30" t="s">
        <v>233</v>
      </c>
      <c r="C4" s="30">
        <v>4</v>
      </c>
      <c r="D4">
        <v>8020</v>
      </c>
      <c r="E4" s="31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249</v>
      </c>
      <c r="I4" t="s">
        <v>250</v>
      </c>
      <c r="J4" t="s">
        <v>212</v>
      </c>
      <c r="K4" s="31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0" t="s">
        <v>234</v>
      </c>
      <c r="C5" s="30">
        <v>2</v>
      </c>
      <c r="D5" t="s">
        <v>213</v>
      </c>
      <c r="E5" s="31"/>
      <c r="F5" s="5">
        <f>'Mechanical - Buffer'!L3</f>
        <v>2.3946900000000002</v>
      </c>
      <c r="G5" s="5">
        <f>RBA_4[[#This Row],[Unit Price]]*RBA_4[[#This Row],[Quantity]]</f>
        <v>4.7893800000000004</v>
      </c>
      <c r="H5" t="s">
        <v>266</v>
      </c>
      <c r="I5" t="s">
        <v>268</v>
      </c>
      <c r="K5" s="31"/>
    </row>
    <row r="6" spans="1:32" ht="50.1" customHeight="1">
      <c r="A6" s="30" t="s">
        <v>235</v>
      </c>
      <c r="C6" s="30">
        <v>2</v>
      </c>
      <c r="D6" t="s">
        <v>212</v>
      </c>
      <c r="E6" s="31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267</v>
      </c>
      <c r="I6" t="s">
        <v>210</v>
      </c>
      <c r="K6" s="31"/>
    </row>
    <row r="7" spans="1:32" ht="50.1" customHeight="1">
      <c r="A7" s="33" t="s">
        <v>240</v>
      </c>
      <c r="C7" s="30">
        <v>3</v>
      </c>
      <c r="D7">
        <v>8020</v>
      </c>
      <c r="E7" s="31" t="str">
        <f t="shared" ref="E7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245</v>
      </c>
      <c r="I7" t="s">
        <v>246</v>
      </c>
      <c r="K7" s="31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0" t="s">
        <v>236</v>
      </c>
      <c r="C8" s="30">
        <v>4</v>
      </c>
      <c r="D8" t="s">
        <v>271</v>
      </c>
      <c r="E8" s="31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270</v>
      </c>
      <c r="K8" s="31" t="str">
        <f t="shared" ref="K8:K15" si="1">HYPERLINK("", "Amazon")</f>
        <v>Amazon</v>
      </c>
    </row>
    <row r="9" spans="1:32" ht="50.1" customHeight="1">
      <c r="A9" s="30" t="s">
        <v>237</v>
      </c>
      <c r="C9" s="30">
        <v>2</v>
      </c>
      <c r="D9" t="s">
        <v>213</v>
      </c>
      <c r="E9" s="31"/>
      <c r="F9" s="5">
        <f>'Mechanical - Buffer'!L3</f>
        <v>2.3946900000000002</v>
      </c>
      <c r="G9" s="5">
        <f>RBA_4[[#This Row],[Unit Price]]*RBA_4[[#This Row],[Quantity]]</f>
        <v>4.7893800000000004</v>
      </c>
      <c r="H9" t="s">
        <v>272</v>
      </c>
      <c r="I9" t="s">
        <v>268</v>
      </c>
      <c r="K9" s="31" t="str">
        <f t="shared" si="1"/>
        <v>Amazon</v>
      </c>
    </row>
    <row r="10" spans="1:32" ht="50.1" customHeight="1">
      <c r="A10" s="30" t="s">
        <v>238</v>
      </c>
      <c r="C10" s="30">
        <v>36</v>
      </c>
      <c r="D10" t="s">
        <v>257</v>
      </c>
      <c r="E10" s="31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5.8787999999999991</v>
      </c>
      <c r="H10" t="s">
        <v>273</v>
      </c>
      <c r="I10" t="s">
        <v>274</v>
      </c>
      <c r="J10" t="s">
        <v>212</v>
      </c>
      <c r="K10" s="31" t="str">
        <f>HYPERLINK("https://amzn.to/3I9bwDb", "Amazon")</f>
        <v>Amazon</v>
      </c>
    </row>
    <row r="11" spans="1:32" ht="50.1" customHeight="1">
      <c r="A11" s="30" t="s">
        <v>239</v>
      </c>
      <c r="C11" s="30">
        <v>40</v>
      </c>
      <c r="D11" t="s">
        <v>212</v>
      </c>
      <c r="E11" s="31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275</v>
      </c>
      <c r="I11" t="s">
        <v>276</v>
      </c>
      <c r="J11" t="s">
        <v>257</v>
      </c>
      <c r="K11" s="31" t="str">
        <f>HYPERLINK("https://www.mcmaster.com/90510A232/", "McMaster")</f>
        <v>McMaster</v>
      </c>
    </row>
    <row r="12" spans="1:32" ht="50.1" customHeight="1">
      <c r="A12" s="30" t="s">
        <v>241</v>
      </c>
      <c r="C12" s="30">
        <v>2</v>
      </c>
      <c r="D12" t="s">
        <v>257</v>
      </c>
      <c r="E12" s="31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277</v>
      </c>
      <c r="I12" t="s">
        <v>278</v>
      </c>
      <c r="J12" t="s">
        <v>212</v>
      </c>
      <c r="K12" s="31" t="str">
        <f>HYPERLINK("https://amzn.to/3s5sT1T", "Amazon")</f>
        <v>Amazon</v>
      </c>
    </row>
    <row r="13" spans="1:32" ht="50.1" customHeight="1">
      <c r="A13" s="30" t="s">
        <v>242</v>
      </c>
      <c r="C13" s="30">
        <v>2</v>
      </c>
      <c r="D13" t="s">
        <v>213</v>
      </c>
      <c r="E13" s="31"/>
      <c r="F13" s="5">
        <f>'Mechanical - X_CarriageFWD_V2_1'!L3</f>
        <v>7.3609699999999991</v>
      </c>
      <c r="G13" s="5">
        <f>RBA_4[[#This Row],[Unit Price]]*RBA_4[[#This Row],[Quantity]]</f>
        <v>14.721939999999998</v>
      </c>
      <c r="H13" t="s">
        <v>227</v>
      </c>
      <c r="K13" s="31" t="str">
        <f t="shared" si="1"/>
        <v>Amazon</v>
      </c>
    </row>
    <row r="14" spans="1:32" ht="50.1" customHeight="1">
      <c r="A14" s="33" t="s">
        <v>243</v>
      </c>
      <c r="C14" s="30">
        <v>2</v>
      </c>
      <c r="D14" t="s">
        <v>213</v>
      </c>
      <c r="E14" s="31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228</v>
      </c>
      <c r="K14" s="31" t="str">
        <f t="shared" si="1"/>
        <v>Amazon</v>
      </c>
    </row>
    <row r="15" spans="1:32" ht="50.1" customHeight="1">
      <c r="A15" s="30" t="s">
        <v>244</v>
      </c>
      <c r="C15" s="30">
        <v>2</v>
      </c>
      <c r="D15" t="s">
        <v>213</v>
      </c>
      <c r="E15" s="31"/>
      <c r="F15" s="5">
        <f>'Mechanical - X_CarriageFWD_V2_1'!L3</f>
        <v>7.3609699999999991</v>
      </c>
      <c r="G15" s="5">
        <f>RBA_4[[#This Row],[Unit Price]]*RBA_4[[#This Row],[Quantity]]</f>
        <v>14.721939999999998</v>
      </c>
      <c r="H15" t="s">
        <v>288</v>
      </c>
      <c r="K15" s="31" t="str">
        <f t="shared" si="1"/>
        <v>Amazon</v>
      </c>
    </row>
    <row r="16" spans="1:32" ht="50.1" customHeight="1">
      <c r="A16" s="30" t="s">
        <v>317</v>
      </c>
      <c r="C16" s="30">
        <v>4</v>
      </c>
      <c r="D16" t="s">
        <v>257</v>
      </c>
      <c r="E16" s="31" t="str">
        <f>HYPERLINK("https://www.mcmaster.com/92095A210/", "McMaster")</f>
        <v>McMaster</v>
      </c>
      <c r="F16" s="5">
        <f>10.01/50</f>
        <v>0.20019999999999999</v>
      </c>
      <c r="G16" s="5">
        <f>RBA_4[[#This Row],[Unit Price]]*RBA_4[[#This Row],[Quantity]]</f>
        <v>0.80079999999999996</v>
      </c>
      <c r="H16" t="s">
        <v>361</v>
      </c>
      <c r="I16" t="s">
        <v>366</v>
      </c>
      <c r="K16" s="31"/>
    </row>
    <row r="17" spans="1:11" ht="50.1" customHeight="1">
      <c r="E17" s="31"/>
      <c r="G17" s="5"/>
      <c r="K17" s="31"/>
    </row>
    <row r="18" spans="1:11" ht="50.1" customHeight="1">
      <c r="E18" s="31"/>
      <c r="F18" s="5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A21" s="39"/>
      <c r="B21" s="39"/>
      <c r="C21" s="39"/>
      <c r="D21" s="39"/>
      <c r="E21" s="39"/>
      <c r="F21" s="39"/>
      <c r="G21" s="39"/>
      <c r="H21" s="39"/>
      <c r="I21" s="5"/>
    </row>
  </sheetData>
  <mergeCells count="2">
    <mergeCell ref="A1:O1"/>
    <mergeCell ref="A21:H21"/>
  </mergeCells>
  <conditionalFormatting sqref="G17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 F17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640-2BF0-4AC3-9F0A-10A047BD7334}">
  <dimension ref="A1:AF22"/>
  <sheetViews>
    <sheetView workbookViewId="0">
      <selection activeCell="J6" sqref="J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367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241</v>
      </c>
      <c r="C3" s="30">
        <v>4</v>
      </c>
      <c r="D3" t="s">
        <v>257</v>
      </c>
      <c r="E3" s="31" t="str">
        <f>HYPERLINK("https://www.mcmaster.com/5537T425/", "McMaster")</f>
        <v>McMaster</v>
      </c>
      <c r="F3" s="5">
        <f>7.03/4</f>
        <v>1.7575000000000001</v>
      </c>
      <c r="G3" s="5">
        <f>RBA_478911512[[#This Row],[Unit Price]]*RBA_478911512[[#This Row],[Quantity]]</f>
        <v>7.03</v>
      </c>
      <c r="H3" t="s">
        <v>277</v>
      </c>
      <c r="I3" t="s">
        <v>278</v>
      </c>
      <c r="J3" t="s">
        <v>212</v>
      </c>
      <c r="K3" s="31" t="str">
        <f>HYPERLINK("https://amzn.to/3s5sT1T", "Amazon")</f>
        <v>Amazon</v>
      </c>
      <c r="L3" s="7">
        <f>SUM(RBA_478911512[Extended Price])</f>
        <v>60.720000000000006</v>
      </c>
    </row>
    <row r="4" spans="1:32" ht="50.1" customHeight="1">
      <c r="A4" s="30" t="s">
        <v>295</v>
      </c>
      <c r="C4" s="30">
        <v>1</v>
      </c>
      <c r="D4">
        <v>8020</v>
      </c>
      <c r="E4" s="31" t="str">
        <f>HYPERLINK("https://8020.net/20-4040.html", "20-4040")</f>
        <v>20-4040</v>
      </c>
      <c r="F4" s="5">
        <f>0.02559*2000 + 2.51</f>
        <v>53.690000000000005</v>
      </c>
      <c r="G4" s="5">
        <f>RBA_478911512[[#This Row],[Unit Price]]*RBA_478911512[[#This Row],[Quantity]]</f>
        <v>53.690000000000005</v>
      </c>
      <c r="H4" t="s">
        <v>371</v>
      </c>
      <c r="I4" t="s">
        <v>246</v>
      </c>
      <c r="K4" s="31"/>
    </row>
    <row r="5" spans="1:32" ht="50.1" customHeight="1">
      <c r="A5" s="30"/>
      <c r="C5" s="30"/>
      <c r="E5" s="31"/>
      <c r="F5" s="5"/>
      <c r="G5" s="5"/>
      <c r="K5" s="31"/>
    </row>
    <row r="6" spans="1:32" ht="50.1" customHeight="1">
      <c r="A6" s="30"/>
      <c r="C6" s="30"/>
      <c r="E6" s="31"/>
      <c r="F6" s="5"/>
      <c r="G6" s="5"/>
      <c r="K6" s="31"/>
    </row>
    <row r="7" spans="1:32" ht="50.1" customHeight="1">
      <c r="A7" s="30"/>
      <c r="C7" s="30"/>
      <c r="E7" s="31"/>
      <c r="F7" s="5"/>
      <c r="G7" s="5"/>
      <c r="K7" s="31"/>
    </row>
    <row r="8" spans="1:32" ht="50.1" customHeight="1">
      <c r="A8" s="30"/>
      <c r="C8" s="30"/>
      <c r="E8" s="31"/>
      <c r="F8" s="5"/>
      <c r="G8" s="5"/>
      <c r="K8" s="31"/>
    </row>
    <row r="9" spans="1:32" ht="50.1" customHeight="1">
      <c r="A9" s="30"/>
      <c r="C9" s="30"/>
      <c r="E9" s="31"/>
      <c r="F9" s="5"/>
      <c r="G9" s="5"/>
      <c r="K9" s="31"/>
    </row>
    <row r="10" spans="1:32" ht="50.1" customHeight="1">
      <c r="A10" s="30"/>
      <c r="C10" s="30"/>
      <c r="E10" s="31"/>
      <c r="F10" s="5"/>
      <c r="G10" s="5"/>
      <c r="K10" s="31"/>
    </row>
    <row r="11" spans="1:32" ht="50.1" customHeight="1">
      <c r="A11" s="30"/>
      <c r="C11" s="30"/>
      <c r="E11" s="31"/>
      <c r="F11" s="5"/>
      <c r="G11" s="5"/>
      <c r="K11" s="31"/>
    </row>
    <row r="12" spans="1:32" ht="50.1" customHeight="1">
      <c r="A12" s="30"/>
      <c r="C12" s="30"/>
      <c r="E12" s="31"/>
      <c r="F12" s="5"/>
      <c r="G12" s="5"/>
      <c r="K12" s="31"/>
    </row>
    <row r="13" spans="1:32" ht="50.1" customHeight="1">
      <c r="A13" s="30"/>
      <c r="C13" s="30"/>
      <c r="E13" s="31"/>
      <c r="F13" s="5"/>
      <c r="G13" s="5"/>
      <c r="K13" s="31"/>
    </row>
    <row r="14" spans="1:32" ht="50.1" customHeight="1">
      <c r="A14" s="30"/>
      <c r="C14" s="30"/>
      <c r="E14" s="31"/>
      <c r="F14" s="5"/>
      <c r="G14" s="5"/>
      <c r="K14" s="31"/>
    </row>
    <row r="15" spans="1:32" ht="50.1" customHeight="1">
      <c r="A15" s="30"/>
      <c r="C15" s="30"/>
      <c r="E15" s="31"/>
      <c r="F15" s="5"/>
      <c r="G15" s="5"/>
      <c r="K15" s="31"/>
    </row>
    <row r="16" spans="1:32" ht="50.1" customHeight="1">
      <c r="A16" s="30"/>
      <c r="C16" s="30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 t="s">
        <v>203</v>
      </c>
      <c r="B22" s="39"/>
      <c r="C22" s="39"/>
      <c r="D22" s="39"/>
      <c r="E22" s="39"/>
      <c r="F22" s="39"/>
      <c r="G22" s="39"/>
      <c r="H22" s="39"/>
      <c r="I22" s="5">
        <f>SUM(RBA_478911512[Extended Price])</f>
        <v>60.720000000000006</v>
      </c>
    </row>
  </sheetData>
  <mergeCells count="2">
    <mergeCell ref="A1:O1"/>
    <mergeCell ref="A22:H22"/>
  </mergeCells>
  <conditionalFormatting sqref="G18:G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82B8-B540-46F3-A58B-0AB3F309C260}">
  <dimension ref="A1:AF35"/>
  <sheetViews>
    <sheetView topLeftCell="A25" workbookViewId="0">
      <selection activeCell="D30" sqref="D30:K3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367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376</v>
      </c>
      <c r="C3" s="30">
        <v>1</v>
      </c>
      <c r="D3" t="s">
        <v>212</v>
      </c>
      <c r="E3" s="31" t="str">
        <f>HYPERLINK("https://amzn.to/3JJ8RAm", "Amazon")</f>
        <v>Amazon</v>
      </c>
      <c r="F3" s="5">
        <f>7.98/5</f>
        <v>1.5960000000000001</v>
      </c>
      <c r="G3" s="5">
        <f>RBA_47891151213[[#This Row],[Unit Price]]*RBA_47891151213[[#This Row],[Quantity]]</f>
        <v>1.5960000000000001</v>
      </c>
      <c r="H3" t="s">
        <v>277</v>
      </c>
      <c r="K3" s="31"/>
      <c r="L3" s="7">
        <f>SUM(RBA_47891151213[Extended Price])</f>
        <v>189.18561999999997</v>
      </c>
    </row>
    <row r="4" spans="1:32" ht="50.1" customHeight="1">
      <c r="A4" s="30" t="s">
        <v>377</v>
      </c>
      <c r="C4" s="30">
        <v>2</v>
      </c>
      <c r="D4" t="s">
        <v>257</v>
      </c>
      <c r="E4" s="31" t="str">
        <f>HYPERLINK("https://www.mcmaster.com/92095A187/", "McMaster")</f>
        <v>McMaster</v>
      </c>
      <c r="F4" s="5">
        <f>7.13/50</f>
        <v>0.1426</v>
      </c>
      <c r="G4" s="5">
        <f>RBA_47891151213[[#This Row],[Unit Price]]*RBA_47891151213[[#This Row],[Quantity]]</f>
        <v>0.28520000000000001</v>
      </c>
      <c r="H4" t="s">
        <v>398</v>
      </c>
      <c r="I4" t="s">
        <v>246</v>
      </c>
      <c r="K4" s="31"/>
    </row>
    <row r="5" spans="1:32" ht="50.1" customHeight="1">
      <c r="A5" s="30" t="s">
        <v>378</v>
      </c>
      <c r="C5" s="30">
        <v>1</v>
      </c>
      <c r="D5" t="s">
        <v>212</v>
      </c>
      <c r="E5" s="31" t="str">
        <f>HYPERLINK("https://amzn.to/3v8bl7r","Amazon")</f>
        <v>Amazon</v>
      </c>
      <c r="F5" s="5">
        <f>6.98/2</f>
        <v>3.49</v>
      </c>
      <c r="G5" s="5">
        <f>RBA_47891151213[[#This Row],[Unit Price]]*RBA_47891151213[[#This Row],[Quantity]]</f>
        <v>3.49</v>
      </c>
      <c r="K5" s="31"/>
    </row>
    <row r="6" spans="1:32" ht="50.1" customHeight="1">
      <c r="A6" s="30" t="s">
        <v>294</v>
      </c>
      <c r="C6" s="30">
        <v>1</v>
      </c>
      <c r="D6" t="s">
        <v>213</v>
      </c>
      <c r="E6" s="31"/>
      <c r="F6" s="5">
        <f>'Electrical '!I24</f>
        <v>17.48</v>
      </c>
      <c r="G6" s="5">
        <f>RBA_47891151213[[#This Row],[Unit Price]]*RBA_47891151213[[#This Row],[Quantity]]</f>
        <v>17.48</v>
      </c>
      <c r="K6" s="31"/>
    </row>
    <row r="7" spans="1:32" ht="50.1" customHeight="1">
      <c r="A7" s="30" t="s">
        <v>379</v>
      </c>
      <c r="C7" s="30">
        <v>1</v>
      </c>
      <c r="D7" t="s">
        <v>399</v>
      </c>
      <c r="E7" s="31"/>
      <c r="F7" s="5"/>
      <c r="G7" s="5">
        <f>RBA_47891151213[[#This Row],[Unit Price]]*RBA_47891151213[[#This Row],[Quantity]]</f>
        <v>0</v>
      </c>
      <c r="K7" s="31"/>
    </row>
    <row r="8" spans="1:32" ht="50.1" customHeight="1">
      <c r="A8" s="30" t="s">
        <v>234</v>
      </c>
      <c r="C8" s="30">
        <v>1</v>
      </c>
      <c r="D8" t="s">
        <v>213</v>
      </c>
      <c r="E8" s="31"/>
      <c r="F8" s="5">
        <f>'Mechanical - Buffer'!L3</f>
        <v>2.3946900000000002</v>
      </c>
      <c r="G8" s="5">
        <f>RBA_47891151213[[#This Row],[Unit Price]]*RBA_47891151213[[#This Row],[Quantity]]</f>
        <v>2.3946900000000002</v>
      </c>
      <c r="K8" s="31"/>
    </row>
    <row r="9" spans="1:32" ht="50.1" customHeight="1">
      <c r="A9" s="30" t="s">
        <v>380</v>
      </c>
      <c r="C9" s="30">
        <v>1</v>
      </c>
      <c r="D9" t="s">
        <v>213</v>
      </c>
      <c r="E9" s="31"/>
      <c r="F9" s="5">
        <f>'Mechanical - X_CarriageFWD_V2_1'!L3</f>
        <v>7.3609699999999991</v>
      </c>
      <c r="G9" s="5">
        <f>RBA_47891151213[[#This Row],[Unit Price]]*RBA_47891151213[[#This Row],[Quantity]]</f>
        <v>7.3609699999999991</v>
      </c>
      <c r="K9" s="31"/>
    </row>
    <row r="10" spans="1:32" ht="50.1" customHeight="1">
      <c r="A10" s="30" t="s">
        <v>381</v>
      </c>
      <c r="C10" s="30">
        <v>1</v>
      </c>
      <c r="D10" t="s">
        <v>213</v>
      </c>
      <c r="E10" s="31"/>
      <c r="F10" s="5">
        <f>'Mechanical - X_Carriage_v2_1'!L3</f>
        <v>9.5010500000000011</v>
      </c>
      <c r="G10" s="5">
        <f>RBA_47891151213[[#This Row],[Unit Price]]*RBA_47891151213[[#This Row],[Quantity]]</f>
        <v>9.5010500000000011</v>
      </c>
      <c r="K10" s="31"/>
    </row>
    <row r="11" spans="1:32" ht="50.1" customHeight="1">
      <c r="A11" s="30" t="s">
        <v>382</v>
      </c>
      <c r="C11" s="30">
        <v>2</v>
      </c>
      <c r="D11">
        <v>8020</v>
      </c>
      <c r="E11" s="31" t="str">
        <f>HYPERLINK("https://8020.net/20-2040.html", "20-2040")</f>
        <v>20-2040</v>
      </c>
      <c r="F11" s="5">
        <f>0.0149*200 + 2.51</f>
        <v>5.49</v>
      </c>
      <c r="G11" s="5">
        <f>RBA_47891151213[[#This Row],[Unit Price]]*RBA_47891151213[[#This Row],[Quantity]]</f>
        <v>10.98</v>
      </c>
      <c r="H11" t="s">
        <v>245</v>
      </c>
      <c r="I11" t="s">
        <v>246</v>
      </c>
      <c r="J11" t="s">
        <v>212</v>
      </c>
      <c r="K11" s="31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12" spans="1:32" ht="50.1" customHeight="1">
      <c r="A12" s="30" t="s">
        <v>383</v>
      </c>
      <c r="C12" s="30">
        <v>1</v>
      </c>
      <c r="D12" t="s">
        <v>213</v>
      </c>
      <c r="E12" s="31"/>
      <c r="F12" s="5">
        <f>'Mechanical - X_CarriageFWD_V2_1'!L3</f>
        <v>7.3609699999999991</v>
      </c>
      <c r="G12" s="5">
        <f>RBA_47891151213[[#This Row],[Unit Price]]*RBA_47891151213[[#This Row],[Quantity]]</f>
        <v>7.3609699999999991</v>
      </c>
      <c r="K12" s="31"/>
    </row>
    <row r="13" spans="1:32" ht="50.1" customHeight="1">
      <c r="A13" s="30" t="s">
        <v>384</v>
      </c>
      <c r="C13" s="30">
        <v>1</v>
      </c>
      <c r="D13" t="s">
        <v>213</v>
      </c>
      <c r="E13" s="31"/>
      <c r="F13" s="5">
        <f>'Mechanical - X_Carriage_v2_1'!L3</f>
        <v>9.5010500000000011</v>
      </c>
      <c r="G13" s="5">
        <f>RBA_47891151213[[#This Row],[Unit Price]]*RBA_47891151213[[#This Row],[Quantity]]</f>
        <v>9.5010500000000011</v>
      </c>
      <c r="K13" s="31"/>
    </row>
    <row r="14" spans="1:32" ht="50.1" customHeight="1">
      <c r="A14" s="30" t="s">
        <v>385</v>
      </c>
      <c r="C14" s="30">
        <v>2</v>
      </c>
      <c r="D14" t="s">
        <v>212</v>
      </c>
      <c r="E14" s="31" t="str">
        <f>HYPERLINK("https://www.amazon.com/gp/product/B07CXNK33Q/ref=ppx_yo_dt_b_search_asin_title?ie=UTF8&amp;psc=1","Amazon")</f>
        <v>Amazon</v>
      </c>
      <c r="F14" s="5">
        <v>2.5</v>
      </c>
      <c r="G14" s="5">
        <f>RBA_47891151213[[#This Row],[Unit Price]]*RBA_47891151213[[#This Row],[Quantity]]</f>
        <v>5</v>
      </c>
      <c r="H14" t="s">
        <v>333</v>
      </c>
      <c r="I14" t="s">
        <v>334</v>
      </c>
      <c r="K14" s="31"/>
    </row>
    <row r="15" spans="1:32" ht="50.1" customHeight="1">
      <c r="A15" s="33" t="s">
        <v>386</v>
      </c>
      <c r="C15" s="30">
        <v>8</v>
      </c>
      <c r="D15" t="s">
        <v>257</v>
      </c>
      <c r="E15" s="31" t="str">
        <f>HYPERLINK("https://www.mcmaster.com/95947A725/", "Amazon")</f>
        <v>Amazon</v>
      </c>
      <c r="F15" s="5">
        <v>1.01</v>
      </c>
      <c r="G15" s="5">
        <f>RBA_47891151213[[#This Row],[Unit Price]]*RBA_47891151213[[#This Row],[Quantity]]</f>
        <v>8.08</v>
      </c>
      <c r="K15" s="31"/>
    </row>
    <row r="16" spans="1:32" ht="50.1" customHeight="1">
      <c r="A16" s="30" t="s">
        <v>387</v>
      </c>
      <c r="C16" s="30">
        <v>1</v>
      </c>
      <c r="D16" t="s">
        <v>400</v>
      </c>
      <c r="E16" s="31" t="str">
        <f>HYPERLINK("https://bit.ly/3t0jHvb", "StepperOnline")</f>
        <v>StepperOnline</v>
      </c>
      <c r="F16" s="5">
        <v>9.91</v>
      </c>
      <c r="G16" s="5">
        <f>RBA_47891151213[[#This Row],[Unit Price]]*RBA_47891151213[[#This Row],[Quantity]]</f>
        <v>9.91</v>
      </c>
      <c r="K16" s="31"/>
    </row>
    <row r="17" spans="1:11" ht="50.1" customHeight="1">
      <c r="A17" s="30" t="s">
        <v>388</v>
      </c>
      <c r="C17" s="30">
        <v>1</v>
      </c>
      <c r="D17" s="31" t="s">
        <v>212</v>
      </c>
      <c r="E17" s="31" t="str">
        <f t="shared" ref="E17:E18" si="0">HYPERLINK("https://amzn.to/3p4Z7Zp", "PETG")</f>
        <v>PETG</v>
      </c>
      <c r="F17" s="5">
        <f>0.01899*112</f>
        <v>2.1268799999999999</v>
      </c>
      <c r="G17" s="5">
        <f>RBA_47891151213[[#This Row],[Unit Price]]*RBA_47891151213[[#This Row],[Quantity]]</f>
        <v>2.1268799999999999</v>
      </c>
      <c r="H17" t="s">
        <v>405</v>
      </c>
      <c r="I17" t="s">
        <v>210</v>
      </c>
      <c r="J17" s="31"/>
      <c r="K17" s="31"/>
    </row>
    <row r="18" spans="1:11" ht="50.1" customHeight="1">
      <c r="A18" s="30" t="s">
        <v>389</v>
      </c>
      <c r="C18" s="30">
        <v>2</v>
      </c>
      <c r="D18" s="31" t="s">
        <v>212</v>
      </c>
      <c r="E18" s="31" t="str">
        <f t="shared" si="0"/>
        <v>PETG</v>
      </c>
      <c r="F18" s="5">
        <f>0.01899*14</f>
        <v>0.26585999999999999</v>
      </c>
      <c r="G18" s="5">
        <f>RBA_47891151213[[#This Row],[Unit Price]]*RBA_47891151213[[#This Row],[Quantity]]</f>
        <v>0.53171999999999997</v>
      </c>
      <c r="H18" t="s">
        <v>406</v>
      </c>
      <c r="I18" t="s">
        <v>210</v>
      </c>
      <c r="J18" s="31"/>
      <c r="K18" s="31"/>
    </row>
    <row r="19" spans="1:11" ht="50.1" customHeight="1">
      <c r="A19" s="30" t="s">
        <v>314</v>
      </c>
      <c r="C19" s="30">
        <v>1</v>
      </c>
      <c r="D19" t="s">
        <v>330</v>
      </c>
      <c r="E19" s="31" t="str">
        <f>HYPERLINK("https://www.digikey.com/en/products/detail/littelfuse-inc/57145-000/43980","Digikey")</f>
        <v>Digikey</v>
      </c>
      <c r="F19" s="5">
        <v>3.06</v>
      </c>
      <c r="G19" s="5">
        <f>RBA_47891151213[[#This Row],[Unit Price]]*RBA_47891151213[[#This Row],[Quantity]]</f>
        <v>3.06</v>
      </c>
      <c r="H19" t="s">
        <v>407</v>
      </c>
      <c r="K19" s="31"/>
    </row>
    <row r="20" spans="1:11" ht="50.1" customHeight="1">
      <c r="A20" s="30" t="s">
        <v>312</v>
      </c>
      <c r="C20" s="30">
        <v>1</v>
      </c>
      <c r="D20" s="31" t="s">
        <v>212</v>
      </c>
      <c r="E20" s="31" t="str">
        <f t="shared" ref="E20:E24" si="1">HYPERLINK("https://amzn.to/3p4Z7Zp", "PETG")</f>
        <v>PETG</v>
      </c>
      <c r="F20" s="5">
        <f>0.01899*11</f>
        <v>0.20888999999999999</v>
      </c>
      <c r="G20" s="5">
        <f>RBA_47891151213[[#This Row],[Unit Price]]*RBA_47891151213[[#This Row],[Quantity]]</f>
        <v>0.20888999999999999</v>
      </c>
      <c r="H20" t="s">
        <v>372</v>
      </c>
      <c r="I20" t="s">
        <v>210</v>
      </c>
      <c r="J20" s="31"/>
      <c r="K20" s="31"/>
    </row>
    <row r="21" spans="1:11" ht="50.1" customHeight="1">
      <c r="A21" s="30" t="s">
        <v>390</v>
      </c>
      <c r="C21" s="30">
        <v>1</v>
      </c>
      <c r="D21" s="31" t="s">
        <v>212</v>
      </c>
      <c r="E21" s="31" t="str">
        <f t="shared" si="1"/>
        <v>PETG</v>
      </c>
      <c r="F21" s="5">
        <f>0.01899*17</f>
        <v>0.32283000000000001</v>
      </c>
      <c r="G21" s="5">
        <f>RBA_47891151213[[#This Row],[Unit Price]]*RBA_47891151213[[#This Row],[Quantity]]</f>
        <v>0.32283000000000001</v>
      </c>
      <c r="H21" t="s">
        <v>408</v>
      </c>
      <c r="I21" t="s">
        <v>210</v>
      </c>
      <c r="J21" s="31"/>
      <c r="K21" s="31"/>
    </row>
    <row r="22" spans="1:11" ht="50.1" customHeight="1">
      <c r="A22" s="30" t="s">
        <v>237</v>
      </c>
      <c r="C22" s="30">
        <v>1</v>
      </c>
      <c r="D22" t="s">
        <v>213</v>
      </c>
      <c r="E22" s="31"/>
      <c r="F22" s="5">
        <f>'Mechanical - Buffer'!L3</f>
        <v>2.3946900000000002</v>
      </c>
      <c r="G22" s="5">
        <f>RBA_47891151213[[#This Row],[Unit Price]]*RBA_47891151213[[#This Row],[Quantity]]</f>
        <v>2.3946900000000002</v>
      </c>
      <c r="K22" s="31"/>
    </row>
    <row r="23" spans="1:11" ht="50.1" customHeight="1">
      <c r="A23" s="30" t="s">
        <v>391</v>
      </c>
      <c r="C23" s="30">
        <v>1</v>
      </c>
      <c r="D23" s="31" t="s">
        <v>212</v>
      </c>
      <c r="E23" s="31" t="str">
        <f t="shared" si="1"/>
        <v>PETG</v>
      </c>
      <c r="F23" s="5">
        <f>0.01899*108</f>
        <v>2.0509200000000001</v>
      </c>
      <c r="G23" s="5">
        <f>RBA_47891151213[[#This Row],[Unit Price]]*RBA_47891151213[[#This Row],[Quantity]]</f>
        <v>2.0509200000000001</v>
      </c>
      <c r="H23" t="s">
        <v>408</v>
      </c>
      <c r="I23" t="s">
        <v>210</v>
      </c>
      <c r="J23" s="31"/>
      <c r="K23" s="31"/>
    </row>
    <row r="24" spans="1:11" ht="50.1" customHeight="1">
      <c r="A24" s="30" t="s">
        <v>349</v>
      </c>
      <c r="C24" s="30">
        <v>2</v>
      </c>
      <c r="D24" s="31" t="s">
        <v>212</v>
      </c>
      <c r="E24" s="31" t="str">
        <f t="shared" si="1"/>
        <v>PETG</v>
      </c>
      <c r="F24" s="5">
        <f>0.01899*7</f>
        <v>0.13292999999999999</v>
      </c>
      <c r="G24" s="5">
        <f>RBA_47891151213[[#This Row],[Unit Price]]*RBA_47891151213[[#This Row],[Quantity]]</f>
        <v>0.26585999999999999</v>
      </c>
      <c r="H24" t="s">
        <v>408</v>
      </c>
      <c r="I24" t="s">
        <v>210</v>
      </c>
      <c r="J24" s="31"/>
      <c r="K24" s="31"/>
    </row>
    <row r="25" spans="1:11" ht="50.1" customHeight="1">
      <c r="A25" s="30" t="s">
        <v>392</v>
      </c>
      <c r="C25" s="30">
        <v>1</v>
      </c>
      <c r="D25" t="s">
        <v>339</v>
      </c>
      <c r="E25" s="31" t="str">
        <f>HYPERLINK("https://www.ebay.com/itm/392938210815", "Ebay")</f>
        <v>Ebay</v>
      </c>
      <c r="F25" s="5">
        <v>69.959999999999994</v>
      </c>
      <c r="G25" s="5">
        <f>RBA_47891151213[[#This Row],[Unit Price]]*RBA_47891151213[[#This Row],[Quantity]]</f>
        <v>69.959999999999994</v>
      </c>
      <c r="K25" s="31" t="str">
        <f t="shared" ref="K25:K32" si="2"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26" spans="1:11" ht="50.1" customHeight="1">
      <c r="A26" s="30" t="s">
        <v>393</v>
      </c>
      <c r="C26" s="30">
        <v>1</v>
      </c>
      <c r="E26" s="31" t="str">
        <f t="shared" ref="E26:E27" si="3">HYPERLINK("https://8020.net/20-2040.html", "20-2040")</f>
        <v>20-2040</v>
      </c>
      <c r="F26" s="5">
        <v>0</v>
      </c>
      <c r="G26" s="5">
        <f>RBA_47891151213[[#This Row],[Unit Price]]*RBA_47891151213[[#This Row],[Quantity]]</f>
        <v>0</v>
      </c>
      <c r="H26" t="s">
        <v>401</v>
      </c>
      <c r="K26" s="31" t="str">
        <f t="shared" si="2"/>
        <v>Amazon</v>
      </c>
    </row>
    <row r="27" spans="1:11" ht="50.1" customHeight="1">
      <c r="A27" s="30" t="s">
        <v>394</v>
      </c>
      <c r="C27" s="30">
        <v>1</v>
      </c>
      <c r="E27" s="31" t="str">
        <f t="shared" si="3"/>
        <v>20-2040</v>
      </c>
      <c r="F27" s="5">
        <v>0</v>
      </c>
      <c r="G27" s="5">
        <f>RBA_47891151213[[#This Row],[Unit Price]]*RBA_47891151213[[#This Row],[Quantity]]</f>
        <v>0</v>
      </c>
      <c r="H27" t="s">
        <v>401</v>
      </c>
      <c r="K27" s="31" t="str">
        <f t="shared" si="2"/>
        <v>Amazon</v>
      </c>
    </row>
    <row r="28" spans="1:11" ht="50.1" customHeight="1">
      <c r="A28" s="30" t="s">
        <v>239</v>
      </c>
      <c r="C28" s="30">
        <v>32</v>
      </c>
      <c r="D28" t="s">
        <v>212</v>
      </c>
      <c r="E28" s="31" t="str">
        <f>HYPERLINK("https://amzn.to/3I8VKIx", "Amazon")</f>
        <v>Amazon</v>
      </c>
      <c r="F28" s="5">
        <f>10.99/50</f>
        <v>0.2198</v>
      </c>
      <c r="G28" s="5">
        <f>RBA_47891151213[[#This Row],[Unit Price]]*RBA_47891151213[[#This Row],[Quantity]]</f>
        <v>7.0335999999999999</v>
      </c>
      <c r="H28" t="s">
        <v>275</v>
      </c>
      <c r="I28" t="s">
        <v>276</v>
      </c>
      <c r="J28" t="s">
        <v>257</v>
      </c>
      <c r="K28" s="31" t="str">
        <f>HYPERLINK("https://www.mcmaster.com/90510A232/", "McMaster")</f>
        <v>McMaster</v>
      </c>
    </row>
    <row r="29" spans="1:11" ht="50.1" customHeight="1">
      <c r="A29" s="30" t="s">
        <v>238</v>
      </c>
      <c r="C29" s="30">
        <v>30</v>
      </c>
      <c r="D29" t="s">
        <v>257</v>
      </c>
      <c r="E29" s="31" t="str">
        <f>HYPERLINK("https://www.mcmaster.com/92095A208/", "McMaster")</f>
        <v>McMaster</v>
      </c>
      <c r="F29" s="5">
        <f>16.33/100</f>
        <v>0.16329999999999997</v>
      </c>
      <c r="G29" s="5">
        <f>RBA_47891151213[[#This Row],[Unit Price]]*RBA_47891151213[[#This Row],[Quantity]]</f>
        <v>4.8989999999999991</v>
      </c>
      <c r="H29" t="s">
        <v>273</v>
      </c>
      <c r="I29" t="s">
        <v>274</v>
      </c>
      <c r="J29" t="s">
        <v>212</v>
      </c>
      <c r="K29" s="31" t="str">
        <f>HYPERLINK("https://amzn.to/3I9bwDb", "Amazon")</f>
        <v>Amazon</v>
      </c>
    </row>
    <row r="30" spans="1:11" ht="50.1" customHeight="1">
      <c r="A30" s="30" t="s">
        <v>318</v>
      </c>
      <c r="C30" s="30">
        <v>2</v>
      </c>
      <c r="D30" t="s">
        <v>257</v>
      </c>
      <c r="E30" s="31" t="str">
        <f>HYPERLINK("https://www.mcmaster.com/92095A216/", "McMaster")</f>
        <v>McMaster</v>
      </c>
      <c r="F30" s="5">
        <f>7.64/25</f>
        <v>0.30559999999999998</v>
      </c>
      <c r="G30" s="5">
        <f>RBA_47891151213[[#This Row],[Unit Price]]*RBA_47891151213[[#This Row],[Quantity]]</f>
        <v>0.61119999999999997</v>
      </c>
      <c r="H30" t="s">
        <v>346</v>
      </c>
      <c r="K30" s="31"/>
    </row>
    <row r="31" spans="1:11" ht="50.1" customHeight="1">
      <c r="A31" s="30" t="s">
        <v>281</v>
      </c>
      <c r="C31" s="30">
        <v>2</v>
      </c>
      <c r="D31" t="s">
        <v>257</v>
      </c>
      <c r="E31" s="31" t="str">
        <f>HYPERLINK("https://www.mcmaster.com/92095A218/", "McMaster")</f>
        <v>McMaster</v>
      </c>
      <c r="F31" s="5">
        <f>9.22/25</f>
        <v>0.36880000000000002</v>
      </c>
      <c r="G31" s="5">
        <f>RBA_47891151213[[#This Row],[Unit Price]]*RBA_47891151213[[#This Row],[Quantity]]</f>
        <v>0.73760000000000003</v>
      </c>
      <c r="K31" s="31" t="str">
        <f t="shared" si="2"/>
        <v>Amazon</v>
      </c>
    </row>
    <row r="32" spans="1:11" ht="50.1" customHeight="1">
      <c r="A32" s="30" t="s">
        <v>395</v>
      </c>
      <c r="C32" s="30">
        <v>4</v>
      </c>
      <c r="D32" t="s">
        <v>257</v>
      </c>
      <c r="E32" s="31" t="str">
        <f>HYPERLINK("https://www.mcmaster.com/92095A214/", "McMaster")</f>
        <v>McMaster</v>
      </c>
      <c r="F32" s="5">
        <f>12.38/50</f>
        <v>0.24760000000000001</v>
      </c>
      <c r="G32" s="5">
        <f>RBA_47891151213[[#This Row],[Unit Price]]*RBA_47891151213[[#This Row],[Quantity]]</f>
        <v>0.99040000000000006</v>
      </c>
      <c r="K32" s="31" t="str">
        <f t="shared" si="2"/>
        <v>Amazon</v>
      </c>
    </row>
    <row r="33" spans="1:11" ht="50.1" customHeight="1">
      <c r="A33" s="30" t="s">
        <v>256</v>
      </c>
      <c r="C33" s="30">
        <v>4</v>
      </c>
      <c r="D33" t="s">
        <v>257</v>
      </c>
      <c r="E33" s="31" t="str">
        <f>HYPERLINK("https://www.mcmaster.com/90591A260/", "McMaster")</f>
        <v>McMaster</v>
      </c>
      <c r="F33" s="5">
        <f>3.56/100</f>
        <v>3.56E-2</v>
      </c>
      <c r="G33" s="5">
        <f>RBA_47891151213[[#This Row],[Unit Price]]*RBA_47891151213[[#This Row],[Quantity]]</f>
        <v>0.1424</v>
      </c>
      <c r="H33" t="s">
        <v>263</v>
      </c>
      <c r="I33" t="s">
        <v>269</v>
      </c>
      <c r="K33" s="31" t="str">
        <f>HYPERLINK("https://amzn.to/3v5pm5K", "Amazon")</f>
        <v>Amazon</v>
      </c>
    </row>
    <row r="34" spans="1:11" ht="50.1" customHeight="1">
      <c r="A34" s="30" t="s">
        <v>396</v>
      </c>
      <c r="C34" s="30">
        <v>4</v>
      </c>
      <c r="D34" t="s">
        <v>257</v>
      </c>
      <c r="E34" s="31" t="str">
        <f>HYPERLINK("https://www.mcmaster.com/92095A475/", "McMaster")</f>
        <v>McMaster</v>
      </c>
      <c r="F34" s="5">
        <f>4/25</f>
        <v>0.16</v>
      </c>
      <c r="G34" s="5">
        <f>RBA_47891151213[[#This Row],[Unit Price]]*RBA_47891151213[[#This Row],[Quantity]]</f>
        <v>0.64</v>
      </c>
      <c r="H34" t="s">
        <v>398</v>
      </c>
      <c r="I34" t="s">
        <v>246</v>
      </c>
      <c r="K34" s="31"/>
    </row>
    <row r="35" spans="1:11" ht="50.1" customHeight="1">
      <c r="A35" s="30" t="s">
        <v>397</v>
      </c>
      <c r="C35" s="30">
        <v>6</v>
      </c>
      <c r="D35" t="s">
        <v>212</v>
      </c>
      <c r="E35" s="31" t="str">
        <f>HYPERLINK("https://amzn.to/3JSYdHx", "Amazon")</f>
        <v>Amazon</v>
      </c>
      <c r="F35" s="5">
        <f>8.99/200</f>
        <v>4.4950000000000004E-2</v>
      </c>
      <c r="G35" s="5">
        <f>RBA_47891151213[[#This Row],[Unit Price]]*RBA_47891151213[[#This Row],[Quantity]]</f>
        <v>0.26970000000000005</v>
      </c>
      <c r="H35" t="s">
        <v>409</v>
      </c>
      <c r="K35" s="31"/>
    </row>
  </sheetData>
  <mergeCells count="1">
    <mergeCell ref="A1:O1"/>
  </mergeCells>
  <conditionalFormatting sqref="F7:F10 F15:F16 F12:F1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 F15:F16 F12:F1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workbookViewId="0">
      <selection activeCell="F3" sqref="F3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3" t="s">
        <v>234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229</v>
      </c>
      <c r="B2" s="15" t="s">
        <v>231</v>
      </c>
      <c r="C2" s="15" t="s">
        <v>6</v>
      </c>
      <c r="D2" s="15" t="s">
        <v>211</v>
      </c>
      <c r="E2" s="15" t="s">
        <v>230</v>
      </c>
      <c r="F2" s="15" t="s">
        <v>7</v>
      </c>
      <c r="G2" s="16" t="s">
        <v>8</v>
      </c>
      <c r="H2" s="15" t="s">
        <v>11</v>
      </c>
      <c r="I2" s="17" t="s">
        <v>209</v>
      </c>
      <c r="J2" s="17" t="s">
        <v>247</v>
      </c>
      <c r="K2" s="17" t="s">
        <v>248</v>
      </c>
      <c r="L2" s="32" t="s">
        <v>265</v>
      </c>
    </row>
    <row r="3" spans="1:32" ht="50.1" customHeight="1">
      <c r="A3" s="30" t="s">
        <v>251</v>
      </c>
      <c r="C3" s="30">
        <v>2</v>
      </c>
      <c r="D3" t="s">
        <v>212</v>
      </c>
      <c r="E3" s="31" t="str">
        <f>HYPERLINK("https://amzn.to/3pcU6xT", "Amazon")</f>
        <v>Amazon</v>
      </c>
      <c r="F3" s="5">
        <f>15.99/20</f>
        <v>0.79949999999999999</v>
      </c>
      <c r="G3" s="5">
        <f>RBA_47[[#This Row],[Unit Price]]*RBA_47[[#This Row],[Quantity]]</f>
        <v>1.599</v>
      </c>
      <c r="H3" t="s">
        <v>259</v>
      </c>
      <c r="K3" s="31"/>
      <c r="L3" s="7">
        <f>SUM(RBA_47[Extended Price])</f>
        <v>2.3946900000000002</v>
      </c>
    </row>
    <row r="4" spans="1:32" ht="50.1" customHeight="1">
      <c r="A4" s="30" t="s">
        <v>252</v>
      </c>
      <c r="C4" s="30">
        <v>1</v>
      </c>
      <c r="D4" t="s">
        <v>257</v>
      </c>
      <c r="E4" s="31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258</v>
      </c>
      <c r="I4" t="s">
        <v>264</v>
      </c>
      <c r="J4" t="s">
        <v>212</v>
      </c>
      <c r="K4" s="31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0" t="s">
        <v>253</v>
      </c>
      <c r="C5" s="30">
        <v>1</v>
      </c>
      <c r="D5" t="s">
        <v>212</v>
      </c>
      <c r="E5" s="31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260</v>
      </c>
      <c r="I5" t="s">
        <v>210</v>
      </c>
      <c r="K5" s="31"/>
    </row>
    <row r="6" spans="1:32" ht="50.1" customHeight="1">
      <c r="A6" s="30" t="s">
        <v>254</v>
      </c>
      <c r="C6" s="30">
        <v>1</v>
      </c>
      <c r="D6" t="s">
        <v>212</v>
      </c>
      <c r="E6" s="31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261</v>
      </c>
      <c r="I6" t="s">
        <v>210</v>
      </c>
      <c r="K6" s="31"/>
    </row>
    <row r="7" spans="1:32" ht="50.1" customHeight="1">
      <c r="A7" s="30" t="s">
        <v>255</v>
      </c>
      <c r="C7" s="30">
        <v>1</v>
      </c>
      <c r="D7" t="s">
        <v>212</v>
      </c>
      <c r="E7" s="31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262</v>
      </c>
      <c r="I7" t="s">
        <v>210</v>
      </c>
      <c r="K7" s="31"/>
    </row>
    <row r="8" spans="1:32" ht="50.1" customHeight="1">
      <c r="A8" s="30" t="s">
        <v>256</v>
      </c>
      <c r="C8" s="30">
        <v>1</v>
      </c>
      <c r="D8" t="s">
        <v>257</v>
      </c>
      <c r="E8" s="31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263</v>
      </c>
      <c r="I8" t="s">
        <v>269</v>
      </c>
      <c r="K8" s="31" t="str">
        <f>HYPERLINK("https://amzn.to/3v5pm5K", "Amazon")</f>
        <v>Amazon</v>
      </c>
    </row>
    <row r="9" spans="1:32" ht="50.1" customHeight="1">
      <c r="A9" s="30"/>
      <c r="C9" s="30"/>
      <c r="E9" s="31"/>
      <c r="F9" s="5"/>
      <c r="G9" s="5"/>
      <c r="K9" s="31"/>
    </row>
    <row r="10" spans="1:32" ht="50.1" customHeight="1">
      <c r="A10" s="30"/>
      <c r="C10" s="30"/>
      <c r="E10" s="31"/>
      <c r="F10" s="5"/>
      <c r="G10" s="5"/>
      <c r="K10" s="31"/>
    </row>
    <row r="11" spans="1:32" ht="50.1" customHeight="1">
      <c r="A11" s="30"/>
      <c r="C11" s="30"/>
      <c r="E11" s="31"/>
      <c r="F11" s="5"/>
      <c r="G11" s="5"/>
      <c r="K11" s="31"/>
    </row>
    <row r="12" spans="1:32" ht="50.1" customHeight="1">
      <c r="A12" s="30"/>
      <c r="C12" s="30"/>
      <c r="E12" s="31"/>
      <c r="F12" s="5"/>
      <c r="G12" s="5"/>
      <c r="K12" s="31"/>
    </row>
    <row r="13" spans="1:32" ht="50.1" customHeight="1">
      <c r="A13" s="30"/>
      <c r="C13" s="30"/>
      <c r="E13" s="31"/>
      <c r="F13" s="5"/>
      <c r="G13" s="5"/>
      <c r="K13" s="31"/>
    </row>
    <row r="14" spans="1:32" ht="50.1" customHeight="1">
      <c r="A14" s="30"/>
      <c r="C14" s="30"/>
      <c r="E14" s="31"/>
      <c r="F14" s="5"/>
      <c r="G14" s="5"/>
      <c r="K14" s="31"/>
    </row>
    <row r="15" spans="1:32" ht="50.1" customHeight="1">
      <c r="A15" s="30"/>
      <c r="C15" s="30"/>
      <c r="E15" s="31"/>
      <c r="F15" s="5"/>
      <c r="G15" s="5"/>
      <c r="K15" s="31"/>
    </row>
    <row r="16" spans="1:32" ht="50.1" customHeight="1">
      <c r="A16" s="30"/>
      <c r="C16" s="30"/>
      <c r="E16" s="31"/>
      <c r="F16" s="5"/>
      <c r="G16" s="5"/>
      <c r="K16" s="31"/>
    </row>
    <row r="17" spans="1:11" ht="50.1" customHeight="1">
      <c r="E17" s="31"/>
      <c r="F17" s="5"/>
      <c r="G17" s="5"/>
      <c r="K17" s="31"/>
    </row>
    <row r="18" spans="1:11" ht="50.1" customHeight="1">
      <c r="E18" s="31"/>
      <c r="F18" s="5"/>
      <c r="G18" s="5"/>
      <c r="K18" s="31"/>
    </row>
    <row r="19" spans="1:11" ht="50.1" customHeight="1">
      <c r="E19" s="31"/>
      <c r="F19" s="5"/>
      <c r="G19" s="5"/>
      <c r="K19" s="31"/>
    </row>
    <row r="20" spans="1:11" ht="50.1" customHeight="1">
      <c r="E20" s="31"/>
      <c r="F20" s="5"/>
      <c r="G20" s="5"/>
      <c r="K20" s="31"/>
    </row>
    <row r="21" spans="1:11" ht="50.1" customHeight="1">
      <c r="E21" s="31"/>
      <c r="F21" s="5"/>
      <c r="G21" s="5"/>
      <c r="K21" s="31"/>
    </row>
    <row r="22" spans="1:11" ht="50.1" customHeight="1">
      <c r="A22" s="39"/>
      <c r="B22" s="39"/>
      <c r="C22" s="39"/>
      <c r="D22" s="39"/>
      <c r="E22" s="39"/>
      <c r="F22" s="39"/>
      <c r="G22" s="39"/>
      <c r="H22" s="39"/>
      <c r="I22" s="5"/>
    </row>
  </sheetData>
  <mergeCells count="2">
    <mergeCell ref="A1:O1"/>
    <mergeCell ref="A22:H22"/>
  </mergeCells>
  <conditionalFormatting sqref="G18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Electrical </vt:lpstr>
      <vt:lpstr>Mechanical - Rail_AssemblyV2_0</vt:lpstr>
      <vt:lpstr>Mechanical - Ebox_Assy</vt:lpstr>
      <vt:lpstr>Mechanical - Top_Rail_Full</vt:lpstr>
      <vt:lpstr>Mechanical - Carriage Assembly</vt:lpstr>
      <vt:lpstr>Mechanical - Top_Rail_Section</vt:lpstr>
      <vt:lpstr>Mechanical - Yaxis_Carriage</vt:lpstr>
      <vt:lpstr>Mechanical - Buffer</vt:lpstr>
      <vt:lpstr>Mechanical - X_CarriageFWD_V2_1</vt:lpstr>
      <vt:lpstr>Mechanical - X_Carriage_v2_1</vt:lpstr>
      <vt:lpstr>Mechanical - X_CarriageFWDBeari</vt:lpstr>
      <vt:lpstr>Mechanical - Bottom_Foot_Assemb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2022-03-07T23:57:55Z</dcterms:modified>
</cp:coreProperties>
</file>