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lind\Documents\GitHub\PersonalProjects\HyperRail\"/>
    </mc:Choice>
  </mc:AlternateContent>
  <xr:revisionPtr revIDLastSave="0" documentId="13_ncr:1_{6DC95F68-1EBE-405A-B146-3458A1F8A50D}" xr6:coauthVersionLast="47" xr6:coauthVersionMax="47" xr10:uidLastSave="{00000000-0000-0000-0000-000000000000}"/>
  <bookViews>
    <workbookView xWindow="-110" yWindow="-110" windowWidth="19420" windowHeight="10420" xr2:uid="{9AA5CA3B-103F-4503-BB38-84DF181EF15E}"/>
  </bookViews>
  <sheets>
    <sheet name="Overall" sheetId="1" r:id="rId1"/>
    <sheet name="Electrical " sheetId="2" r:id="rId2"/>
    <sheet name="Mechan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H31" i="3"/>
  <c r="I31" i="3"/>
  <c r="I30" i="3"/>
  <c r="H30" i="3"/>
  <c r="I29" i="3"/>
  <c r="H25" i="3"/>
  <c r="H24" i="3"/>
  <c r="H22" i="3"/>
  <c r="I22" i="3" s="1"/>
  <c r="H21" i="3"/>
  <c r="I21" i="3" s="1"/>
  <c r="H13" i="3"/>
  <c r="I13" i="3" s="1"/>
  <c r="I12" i="3"/>
  <c r="I11" i="3"/>
  <c r="I10" i="3"/>
  <c r="H9" i="3"/>
  <c r="I9" i="3" s="1"/>
  <c r="H8" i="3"/>
  <c r="I8" i="3"/>
  <c r="H7" i="3"/>
  <c r="I7" i="3" s="1"/>
  <c r="H28" i="3"/>
  <c r="H5" i="3"/>
  <c r="I5" i="3" s="1"/>
  <c r="D9" i="1"/>
  <c r="I74" i="3"/>
  <c r="G70" i="3"/>
  <c r="H73" i="3"/>
  <c r="I73" i="3" s="1"/>
  <c r="G72" i="3"/>
  <c r="G71" i="3"/>
  <c r="H72" i="3"/>
  <c r="N7" i="1"/>
  <c r="Q7" i="1" s="1"/>
  <c r="R7" i="1" s="1"/>
  <c r="N8" i="1"/>
  <c r="Q8" i="1" s="1"/>
  <c r="R8" i="1" s="1"/>
  <c r="N6" i="1"/>
  <c r="Q6" i="1" s="1"/>
  <c r="R6" i="1" s="1"/>
  <c r="G51" i="3"/>
  <c r="G52" i="3"/>
  <c r="G27" i="3"/>
  <c r="G28" i="3"/>
  <c r="G59" i="3"/>
  <c r="H71" i="3"/>
  <c r="H69" i="3"/>
  <c r="I69" i="3" s="1"/>
  <c r="H68" i="3"/>
  <c r="I68" i="3" s="1"/>
  <c r="H63" i="3"/>
  <c r="I63" i="3" s="1"/>
  <c r="H62" i="3"/>
  <c r="I62" i="3" s="1"/>
  <c r="H61" i="3"/>
  <c r="I61" i="3" s="1"/>
  <c r="H60" i="3"/>
  <c r="I60" i="3" s="1"/>
  <c r="H59" i="3"/>
  <c r="H58" i="3"/>
  <c r="I58" i="3" s="1"/>
  <c r="H57" i="3"/>
  <c r="I57" i="3" s="1"/>
  <c r="H52" i="3"/>
  <c r="F5" i="1"/>
  <c r="F6" i="1"/>
  <c r="F7" i="1"/>
  <c r="E7" i="1"/>
  <c r="E6" i="1"/>
  <c r="E5" i="1"/>
  <c r="H51" i="3"/>
  <c r="I50" i="3"/>
  <c r="I49" i="3"/>
  <c r="H48" i="3"/>
  <c r="I48" i="3" s="1"/>
  <c r="H47" i="3"/>
  <c r="I47" i="3" s="1"/>
  <c r="H46" i="3"/>
  <c r="I46" i="3" s="1"/>
  <c r="H45" i="3"/>
  <c r="I45" i="3" s="1"/>
  <c r="H44" i="3"/>
  <c r="I44" i="3" s="1"/>
  <c r="I43" i="3"/>
  <c r="I40" i="3"/>
  <c r="I42" i="3"/>
  <c r="H41" i="3"/>
  <c r="I41" i="3" s="1"/>
  <c r="I34" i="3"/>
  <c r="H26" i="3"/>
  <c r="I26" i="3" s="1"/>
  <c r="I23" i="3"/>
  <c r="I25" i="3"/>
  <c r="I24" i="3"/>
  <c r="I19" i="3"/>
  <c r="I20" i="3"/>
  <c r="H6" i="3"/>
  <c r="I6" i="3" s="1"/>
  <c r="H4" i="3"/>
  <c r="I4" i="3" s="1"/>
  <c r="I3" i="3"/>
  <c r="I59" i="2"/>
  <c r="I63" i="2"/>
  <c r="I52" i="2"/>
  <c r="I24" i="2"/>
  <c r="I27" i="3" l="1"/>
  <c r="I72" i="3"/>
  <c r="I71" i="3"/>
  <c r="I70" i="3"/>
  <c r="I75" i="3" s="1"/>
  <c r="E9" i="1" s="1"/>
  <c r="F9" i="1" s="1"/>
  <c r="I52" i="3"/>
  <c r="I51" i="3"/>
  <c r="I59" i="3"/>
  <c r="I64" i="3" s="1"/>
  <c r="E8" i="1" s="1"/>
  <c r="F8" i="1" s="1"/>
  <c r="I28" i="3"/>
  <c r="I53" i="3"/>
  <c r="E4" i="1" s="1"/>
  <c r="F4" i="1" s="1"/>
  <c r="H18" i="3"/>
  <c r="I18" i="3" s="1"/>
  <c r="I14" i="3"/>
  <c r="I36" i="3" l="1"/>
  <c r="E3" i="1" s="1"/>
  <c r="F3" i="1" s="1"/>
  <c r="L2" i="1" s="1"/>
</calcChain>
</file>

<file path=xl/sharedStrings.xml><?xml version="1.0" encoding="utf-8"?>
<sst xmlns="http://schemas.openxmlformats.org/spreadsheetml/2006/main" count="1379" uniqueCount="401">
  <si>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</si>
  <si>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</si>
  <si>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</si>
  <si>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</si>
  <si>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</si>
  <si>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</si>
  <si>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</si>
  <si>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</si>
  <si>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</si>
  <si>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</si>
  <si>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</si>
  <si>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</si>
  <si>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</si>
  <si>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</si>
  <si>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</si>
  <si>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</si>
  <si>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</si>
  <si>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</si>
  <si>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</si>
  <si>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</si>
  <si>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</si>
  <si>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</si>
  <si>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</si>
  <si>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</si>
  <si>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</si>
  <si>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</si>
  <si>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</si>
  <si>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</si>
  <si>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</si>
  <si>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</si>
  <si>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</si>
  <si>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</si>
  <si>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</si>
  <si>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</si>
  <si>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</si>
  <si>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</si>
  <si>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</si>
  <si>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</si>
  <si>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</si>
  <si>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</si>
  <si>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</si>
  <si>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</si>
  <si>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</si>
  <si>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</si>
  <si>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</si>
  <si>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</si>
  <si>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</si>
  <si>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</si>
  <si>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</si>
  <si>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</si>
  <si>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</si>
  <si>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</si>
  <si>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</si>
  <si>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</si>
  <si>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</si>
  <si>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</si>
  <si>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</si>
  <si>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</si>
  <si>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</si>
  <si>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</si>
  <si>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</si>
  <si>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</si>
  <si>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</si>
  <si>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</si>
  <si>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</si>
  <si>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</si>
  <si>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</si>
  <si>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</si>
  <si>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</si>
  <si>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</si>
  <si>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</si>
  <si>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</si>
  <si>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</si>
  <si>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</si>
  <si>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</si>
  <si>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</si>
  <si>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</si>
  <si>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</si>
  <si>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</si>
  <si>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</si>
  <si>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</si>
  <si>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</si>
  <si>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</si>
  <si>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</si>
  <si>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</si>
  <si>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</si>
  <si>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</si>
  <si>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</si>
  <si>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</si>
  <si>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</si>
  <si>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</si>
  <si>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</si>
  <si>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</si>
  <si>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</si>
  <si>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</si>
  <si>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</si>
  <si>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</si>
  <si>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</si>
  <si>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</si>
  <si>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</si>
  <si>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</si>
  <si>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</si>
  <si>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</si>
  <si>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</si>
  <si>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</si>
  <si>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</si>
  <si>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</si>
  <si>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</si>
  <si>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</si>
  <si>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</si>
  <si>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</si>
  <si>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</si>
  <si>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</si>
  <si>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</si>
  <si>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</si>
  <si>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</si>
  <si>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</si>
  <si>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</si>
  <si>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</si>
  <si>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</si>
  <si>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</si>
  <si>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</si>
  <si>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</si>
  <si>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</si>
  <si>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</si>
  <si>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</si>
  <si>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</si>
  <si>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</si>
  <si>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</si>
  <si>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</si>
  <si>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</si>
  <si>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</si>
  <si>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</si>
  <si>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</si>
  <si>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</si>
  <si>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</si>
  <si>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</si>
  <si>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</si>
  <si>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</si>
  <si>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</si>
  <si>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</si>
  <si>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</si>
  <si>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</si>
  <si>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</si>
  <si>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</si>
  <si>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</si>
  <si>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</si>
  <si>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</si>
  <si>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</si>
  <si>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</si>
  <si>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</si>
  <si>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</si>
  <si>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</si>
  <si>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</si>
  <si>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</si>
  <si>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</si>
  <si>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</si>
  <si>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</si>
  <si>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</si>
  <si>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</si>
  <si>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</si>
  <si>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</si>
  <si>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</si>
  <si>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</si>
  <si>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</si>
  <si>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</si>
  <si>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</si>
  <si>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</si>
  <si>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</si>
  <si>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</si>
  <si>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</si>
  <si>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</si>
  <si>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</si>
  <si>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</si>
  <si>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</si>
  <si>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</si>
  <si>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</si>
  <si>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</si>
  <si>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</si>
  <si>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</si>
  <si>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</si>
  <si>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</si>
  <si>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</si>
  <si>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</si>
  <si>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</si>
  <si>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</si>
  <si>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</si>
  <si>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</si>
  <si>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</si>
  <si>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</si>
  <si>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</si>
  <si>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</si>
  <si>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</si>
  <si>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</si>
  <si>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</si>
  <si>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</si>
  <si>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</si>
  <si>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</si>
  <si>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</si>
  <si>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</si>
  <si>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</si>
  <si>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</si>
  <si>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</si>
  <si>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</si>
  <si>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</si>
  <si>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</si>
  <si>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59145-040</t>
  </si>
  <si>
    <t>Littelfuse Inc.</t>
  </si>
  <si>
    <t>HE627-ND</t>
  </si>
  <si>
    <t>Mag Switch Reciever</t>
  </si>
  <si>
    <t>Box</t>
  </si>
  <si>
    <t>SENSOR REED SW SPST-NC W LEADS</t>
  </si>
  <si>
    <t>57145-000</t>
  </si>
  <si>
    <t>57145-000-ND</t>
  </si>
  <si>
    <t>Mag Switch Transmitter</t>
  </si>
  <si>
    <t>13 Weeks</t>
  </si>
  <si>
    <t>MAGNET 1.125"L X 0.259"W PLASTIC</t>
  </si>
  <si>
    <t>BC-5SE100M</t>
  </si>
  <si>
    <t>Bel Inc.</t>
  </si>
  <si>
    <t>1847-1059-ND</t>
  </si>
  <si>
    <t>CABLE MOD 8P8C PLUG-PLUG 32.81'</t>
  </si>
  <si>
    <t>LRS-350-24</t>
  </si>
  <si>
    <t>MEAN WELL USA Inc.</t>
  </si>
  <si>
    <t>1866-3346-ND</t>
  </si>
  <si>
    <t>Input Power</t>
  </si>
  <si>
    <t>AC/DC CONVERTER 24V 350W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</si>
  <si>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</si>
  <si>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</si>
  <si>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</si>
  <si>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</si>
  <si>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</si>
  <si>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</si>
  <si>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B07KPWJ3ZC</t>
  </si>
  <si>
    <t>AFUNTA</t>
  </si>
  <si>
    <t xml:space="preserve">Bearing Wheels </t>
  </si>
  <si>
    <t>N/A</t>
  </si>
  <si>
    <t>Big Plastic Pulley Wheels with Bearings Gear Perlin</t>
  </si>
  <si>
    <t>Roller Bracket Assembly</t>
  </si>
  <si>
    <t>Comments</t>
  </si>
  <si>
    <t>* Bought as a pack of 12 on Amazon, can be replaced with other brands. Price is estimated on $/Pack</t>
  </si>
  <si>
    <t>M5 Spring Loaded Tslot Nut</t>
  </si>
  <si>
    <t>Bag</t>
  </si>
  <si>
    <t>M5 Sized Tslot Nut with built in spring. 2020 Sized</t>
  </si>
  <si>
    <t>* Bought as a pack of 100. Price is estimated based on $/pack</t>
  </si>
  <si>
    <t>20-2040</t>
  </si>
  <si>
    <t>8020 Inc</t>
  </si>
  <si>
    <t>2040 Tslot</t>
  </si>
  <si>
    <t xml:space="preserve">* Unit price is estimated based on $0.28/in convertered to $/mm. </t>
  </si>
  <si>
    <t>150mm long 20mm x 40mm metric 20 series rectangular T-slot profile</t>
  </si>
  <si>
    <t>M5-0.8 x 12 mm Button Head Socket Cap</t>
  </si>
  <si>
    <t>MewuDecor</t>
  </si>
  <si>
    <t>B07VHNGBWJ</t>
  </si>
  <si>
    <t>POLISI3D</t>
  </si>
  <si>
    <t>Amazon Basics</t>
  </si>
  <si>
    <t>B07T4X4D2C</t>
  </si>
  <si>
    <t>Roll</t>
  </si>
  <si>
    <t xml:space="preserve">4mm Roller Spacer </t>
  </si>
  <si>
    <t xml:space="preserve">Spacer between Delrin Wheels and 2040 Tslot Extrusion. Price based on 3D print of PETG Filament </t>
  </si>
  <si>
    <t xml:space="preserve">* Price is estimated based on Cura Slicer weight estimates for 3D printed part and $/Kg of Amazon Basics PETG Filament </t>
  </si>
  <si>
    <t>Custom Sub Assembly</t>
  </si>
  <si>
    <t>Sub Assembly with defined BOM above</t>
  </si>
  <si>
    <t>Nema 23 Bracket</t>
  </si>
  <si>
    <t>ST-M2</t>
  </si>
  <si>
    <t>Vendor</t>
  </si>
  <si>
    <t>Amazon</t>
  </si>
  <si>
    <t>Custom</t>
  </si>
  <si>
    <t>Stepper Online</t>
  </si>
  <si>
    <t>Nema 23 Bracket for Stepper Motor and Geared Stepper Motor Alloy Steel Bracket</t>
  </si>
  <si>
    <t>1275mm long 20mm x 40mm metric 20 series rectangular T-slot profile</t>
  </si>
  <si>
    <t>Nema 23 Stepper Motor + Planetary Gearbox</t>
  </si>
  <si>
    <t>Nema 23 stepper motor with 56mm body and 2.8A rated current, integrated a planetary gearbox of 46.656:1 gear ratio</t>
  </si>
  <si>
    <t>23HS22-2804S-PG47</t>
  </si>
  <si>
    <t>90 Deg 4040 Bracket</t>
  </si>
  <si>
    <t>90 degree bracket used to mount carriage to vertical Tslot</t>
  </si>
  <si>
    <t>Bottom Foot for side rail assembly</t>
  </si>
  <si>
    <t>DYWISHKEY</t>
  </si>
  <si>
    <t>M5 12mm Bolt</t>
  </si>
  <si>
    <t xml:space="preserve">DYWISHKEY 195 Pieces M5 x 6mm/8mm/10mm /12mm/16mm/20mm/25mm/30mm Stainless Steel 304 Hex Button Head Cap Bolts and Nuts Kit </t>
  </si>
  <si>
    <t>1275mm GT2 Timing Belt</t>
  </si>
  <si>
    <t>Belt used for pulley mechanism. GT2 size, 2mm pitch, 6mm width</t>
  </si>
  <si>
    <t>* Price is estimated based on a 5M pack bought on Amazon. Estimates come from $/5m Roll</t>
  </si>
  <si>
    <t>Top Carriage Assembly</t>
  </si>
  <si>
    <t>20-2020</t>
  </si>
  <si>
    <t>2020 Tslot</t>
  </si>
  <si>
    <t>300mm long 20mm x 20mm metric 20 series rectangular T-slot profile</t>
  </si>
  <si>
    <t>Nema 17 Stepper Motor + Planetary Gearbox</t>
  </si>
  <si>
    <t>17HS15-0854S-C1</t>
  </si>
  <si>
    <t>nema 17 stepper motor with step angle 1.8deg and size 42x42x39mm. It has 4 wires, each phase draws 0.85A at 5.4V, with holding torque 36Ncm (51oz.in).</t>
  </si>
  <si>
    <t>Nema 17 Bracket for Stepper Motor and Geared Stepper Motor Alloy Steel Bracket</t>
  </si>
  <si>
    <t>Nema 17 Bracket</t>
  </si>
  <si>
    <t>ST-M1</t>
  </si>
  <si>
    <t>2GT Timing Pulley</t>
  </si>
  <si>
    <t>BEMONOC</t>
  </si>
  <si>
    <t xml:space="preserve">* Price estimated from 5 pack on Amazon, can be replaced with any compatible GT2 Pulley (with 6mm bore) </t>
  </si>
  <si>
    <t xml:space="preserve">GT2 Pulley for Y-axis Carriage. Timing Pulley 20 Teeth 6mm Bore fit GT2 Belt Width 6mm and 3D Printer Parts </t>
  </si>
  <si>
    <t>B014KN70QE</t>
  </si>
  <si>
    <t>Small Idle Pulley</t>
  </si>
  <si>
    <t>Idle Pulley for tensioning between NEMA 17 and small belt</t>
  </si>
  <si>
    <t>684ZZ Ball Bearing</t>
  </si>
  <si>
    <t xml:space="preserve">uxcell </t>
  </si>
  <si>
    <t>B07FW1958S</t>
  </si>
  <si>
    <t>Ball Bearing for use with idle pulley tensioner system</t>
  </si>
  <si>
    <t>* Price Estimated from 10 pack on Amazon</t>
  </si>
  <si>
    <t>Spacer between Ball bearing and Stepper Face Mount</t>
  </si>
  <si>
    <t>3mmSpacer</t>
  </si>
  <si>
    <t>iExcell</t>
  </si>
  <si>
    <t xml:space="preserve">iExcell 100 Pcs 12.9 Grade M3 x 30/35/40/45/50 mm Alloy Steel Hex Socket Head Cap Screws Bolts Assortment Kit, Black Oxide Finish </t>
  </si>
  <si>
    <t>M3 30mm Bolt</t>
  </si>
  <si>
    <t>Sonku</t>
  </si>
  <si>
    <t>B07PTPB7BX</t>
  </si>
  <si>
    <t>Overall Cost</t>
  </si>
  <si>
    <t>Category</t>
  </si>
  <si>
    <t>Main Electrical System Assembly</t>
  </si>
  <si>
    <t>Mechanical</t>
  </si>
  <si>
    <t xml:space="preserve">Electrical </t>
  </si>
  <si>
    <t>2200mm long 20mm x 40mm metric 20 series rectangular T-slot profile</t>
  </si>
  <si>
    <t>Misc Mounting Material</t>
  </si>
  <si>
    <t>90Deg Bracket to mount 2 pieces of 4040 Extrusion</t>
  </si>
  <si>
    <t>Small Belt Clamp</t>
  </si>
  <si>
    <t>Clamp for constraining pulley belts</t>
  </si>
  <si>
    <t>1895mm long 20mm x 20mm metric 20 series rectangular T-slot profile</t>
  </si>
  <si>
    <t xml:space="preserve">90 degree bracket used to mount 2020 to 4060 (for exact seperation) </t>
  </si>
  <si>
    <t>Right Angle Bracket</t>
  </si>
  <si>
    <t>90Deg 4040 Flat Bracket</t>
  </si>
  <si>
    <t xml:space="preserve">Misc Mounting Material </t>
  </si>
  <si>
    <t>Height (m)</t>
  </si>
  <si>
    <t>Width (m)</t>
  </si>
  <si>
    <t>Length (m)</t>
  </si>
  <si>
    <t>Add-On Module</t>
  </si>
  <si>
    <t>2040 Tslot - Height</t>
  </si>
  <si>
    <t xml:space="preserve">2040 Tslot - Width </t>
  </si>
  <si>
    <t>Base Parameters</t>
  </si>
  <si>
    <t>Add-On Modules</t>
  </si>
  <si>
    <t>Number</t>
  </si>
  <si>
    <t>Bottom Stand</t>
  </si>
  <si>
    <t xml:space="preserve">XC5041 </t>
  </si>
  <si>
    <t xml:space="preserve">KOOTANS </t>
  </si>
  <si>
    <t>Link Connector</t>
  </si>
  <si>
    <t xml:space="preserve">Link Tslot nut to connect between modules </t>
  </si>
  <si>
    <t>Add On Module</t>
  </si>
  <si>
    <t>Total</t>
  </si>
  <si>
    <t>(ft)</t>
  </si>
  <si>
    <t>MODIFY THESE</t>
  </si>
  <si>
    <t>20-4040</t>
  </si>
  <si>
    <t>Carriage Assembly</t>
  </si>
  <si>
    <t>X Carriage Plate</t>
  </si>
  <si>
    <t>Long plate for gripping Closed Belt structure</t>
  </si>
  <si>
    <t>X Carriage Plate - Short</t>
  </si>
  <si>
    <t>Short plate for supporting main frame</t>
  </si>
  <si>
    <t>MNUS-CornerBracket-2020-50-201109</t>
  </si>
  <si>
    <t>MNUS</t>
  </si>
  <si>
    <t>2020 Corner Bracket</t>
  </si>
  <si>
    <t>Short corner bracket for mounting 8020 pieces</t>
  </si>
  <si>
    <t>* Bought as a pack of 40. Price is estimated based on $/pack</t>
  </si>
  <si>
    <t>M5 6mm Bolt</t>
  </si>
  <si>
    <t>M5-0.8 x 6 mm Button Head Socket Cap</t>
  </si>
  <si>
    <t>HTD 30mm Pulley</t>
  </si>
  <si>
    <t>F696ZZ ABEC1</t>
  </si>
  <si>
    <t>UxCell</t>
  </si>
  <si>
    <t>Flange Bearing</t>
  </si>
  <si>
    <t>6x15x5mm flanged bearing for Closed loop belt</t>
  </si>
  <si>
    <t>* Bought as a pack of 10. Price is estimated based on $/pack</t>
  </si>
  <si>
    <t>GT2 Idler Pulley</t>
  </si>
  <si>
    <t>WINSINN</t>
  </si>
  <si>
    <t>Idler pulley for tension and to restrict belt to area</t>
  </si>
  <si>
    <t>* Bought as a pack of 5. Price is estimated based on $/pack</t>
  </si>
  <si>
    <t>B07BPHRSN5</t>
  </si>
  <si>
    <t>4060 Tslot - Length</t>
  </si>
  <si>
    <t>Right Angle Bracket (60mm)</t>
  </si>
  <si>
    <t>Right angle bracket used to mount motor and adjust height</t>
  </si>
  <si>
    <t>20-4060</t>
  </si>
  <si>
    <t xml:space="preserve">L Shape Corner Bracket </t>
  </si>
  <si>
    <t>L Bracket for mounting Vertical Tslot to upper Tslot</t>
  </si>
  <si>
    <t>BefenBay</t>
  </si>
  <si>
    <t>Bottom Foot</t>
  </si>
  <si>
    <t>Foot Spacer</t>
  </si>
  <si>
    <t>20-2568</t>
  </si>
  <si>
    <t>Misumi</t>
  </si>
  <si>
    <t>45deg Bracket 300mm</t>
  </si>
  <si>
    <t>45 Deg Bracket support for Upper tslot from vertical tslot</t>
  </si>
  <si>
    <t>M5 50mm Bolt</t>
  </si>
  <si>
    <t>Cable Guide Spacer</t>
  </si>
  <si>
    <t xml:space="preserve">Cable guide supports for cable snake </t>
  </si>
  <si>
    <t>NEMA23 Shroud</t>
  </si>
  <si>
    <t>Shroud to protect NEMA23 motor from elements</t>
  </si>
  <si>
    <t>B20-5M-MPS</t>
  </si>
  <si>
    <t>PolyBelt</t>
  </si>
  <si>
    <t>20-5M</t>
  </si>
  <si>
    <t>Steel Reinforced 20mm wide HTD5 Belt</t>
  </si>
  <si>
    <t>*Price is per foot</t>
  </si>
  <si>
    <t>650-5m-09</t>
  </si>
  <si>
    <t>6A55M028DF0912</t>
  </si>
  <si>
    <t>SDP/SI</t>
  </si>
  <si>
    <t>5 mm (GT2) Pitch,28 Teeth, 12mm Bore, 2 Flanges/With Hub</t>
  </si>
  <si>
    <t>650mm closed loop</t>
  </si>
  <si>
    <t>Steel Reinforced 10mm wide Closed loop belt (650mm)</t>
  </si>
  <si>
    <t xml:space="preserve">VHB LSE-160WF </t>
  </si>
  <si>
    <t>3M</t>
  </si>
  <si>
    <t>VHB Tape</t>
  </si>
  <si>
    <t xml:space="preserve">Adhesive for static belt -&gt; track </t>
  </si>
  <si>
    <t xml:space="preserve">*Price is estimated in mm based on $/roll. Prices vary online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</si>
</sst>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12" applyNumberFormat="0" applyFill="0" applyAlignment="0" applyProtection="0"/>
    <xf numFmtId="0" fontId="11" fillId="12" borderId="13" applyNumberFormat="0" applyAlignment="0" applyProtection="0"/>
    <xf numFmtId="0" fontId="1" fillId="13" borderId="14" applyNumberFormat="0" applyFont="0" applyAlignment="0" applyProtection="0"/>
  </cellStyleXfs>
  <cellXfs count="57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8" xfId="0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44" fontId="4" fillId="0" borderId="0" xfId="1" applyNumberFormat="1" applyFont="1" applyFill="1" applyBorder="1"/>
    <xf numFmtId="0" fontId="4" fillId="0" borderId="8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44" fontId="0" fillId="0" borderId="0" xfId="1" applyNumberFormat="1" applyFont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44" fontId="0" fillId="0" borderId="0" xfId="1" applyNumberFormat="1" applyFont="1" applyFill="1"/>
    <xf numFmtId="44" fontId="0" fillId="0" borderId="0" xfId="0" quotePrefix="1" applyNumberFormat="1"/>
    <xf numFmtId="0" fontId="0" fillId="0" borderId="10" xfId="0" applyFont="1" applyFill="1" applyBorder="1"/>
    <xf numFmtId="0" fontId="0" fillId="0" borderId="9" xfId="0" applyFont="1" applyFill="1" applyBorder="1"/>
    <xf numFmtId="0" fontId="0" fillId="13" borderId="14" xfId="6" applyFont="1"/>
    <xf numFmtId="0" fontId="11" fillId="12" borderId="13" xfId="5"/>
    <xf numFmtId="0" fontId="0" fillId="13" borderId="0" xfId="6" applyFont="1" applyBorder="1"/>
    <xf numFmtId="0" fontId="12" fillId="2" borderId="1" xfId="2" applyFont="1"/>
    <xf numFmtId="44" fontId="12" fillId="2" borderId="1" xfId="2" applyNumberFormat="1" applyFont="1"/>
    <xf numFmtId="44" fontId="0" fillId="0" borderId="9" xfId="1" applyFont="1" applyBorder="1"/>
    <xf numFmtId="44" fontId="0" fillId="0" borderId="9" xfId="1" applyFont="1" applyFill="1" applyBorder="1"/>
    <xf numFmtId="0" fontId="13" fillId="0" borderId="0" xfId="0" applyFont="1"/>
    <xf numFmtId="0" fontId="10" fillId="11" borderId="12" xfId="4" applyFill="1"/>
    <xf numFmtId="0" fontId="5" fillId="9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</cellXfs>
  <cellStyles count="7">
    <cellStyle name="Currency" xfId="1" builtinId="4"/>
    <cellStyle name="Heading 2" xfId="4" builtinId="17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82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81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O23" totalsRowShown="0" headerRowDxfId="80">
  <autoFilter ref="A2:O23" xr:uid="{4CC865C4-70F4-4E79-B894-F6854082DA6C}"/>
  <tableColumns count="15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79" dataDxfId="78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77" dataCellStyle="Normal 2"/>
    <tableColumn id="2" xr3:uid="{6B59215C-904B-43A0-9B4A-AB0E67299905}" name="Manufacturer" dataDxfId="76" dataCellStyle="Normal 2"/>
    <tableColumn id="3" xr3:uid="{DD20B8A8-53CD-4A48-AEE1-70BA807C8EEA}" name="Digi-Key Part Number" dataDxfId="75" dataCellStyle="Normal 2"/>
    <tableColumn id="4" xr3:uid="{D6FF6B24-3A2F-4CC8-A2BF-EC9E5C63F221}" name="Customer Reference" dataDxfId="74" dataCellStyle="Normal 2"/>
    <tableColumn id="6" xr3:uid="{00154DED-35B4-4DC6-A5CA-366FDF6CF4A8}" name="Packaging" dataDxfId="73" dataCellStyle="Normal 2"/>
    <tableColumn id="7" xr3:uid="{7510C95A-484A-4DC4-9287-E7E4048CE55F}" name="Part Status" dataDxfId="72" dataCellStyle="Normal 2"/>
    <tableColumn id="8" xr3:uid="{86130162-85F0-4EF0-90A3-60A56AACDF7B}" name="Quantity" dataDxfId="71" dataCellStyle="Normal 2"/>
    <tableColumn id="9" xr3:uid="{A253EF67-AEDC-4815-89E7-BF69910B09B6}" name="Unit Price" dataDxfId="70" dataCellStyle="Normal 2"/>
    <tableColumn id="10" xr3:uid="{92B290F7-25C2-4F72-A522-FCE1AA821946}" name="Extended Price" dataDxfId="69" dataCellStyle="Currency"/>
    <tableColumn id="11" xr3:uid="{513AEB4C-DFAB-4E29-92B7-65C904FF7D01}" name="Quantity Available" dataDxfId="68" dataCellStyle="Normal 2"/>
    <tableColumn id="12" xr3:uid="{69413C94-7AF0-479A-AEDD-64F66D6F47DE}" name="Mfg Std Lead Time" dataDxfId="67" dataCellStyle="Normal 2"/>
    <tableColumn id="13" xr3:uid="{7240CA0E-359D-4DB8-8A48-E5A9E8C25292}" name="Description" dataDxfId="66" dataCellStyle="Normal 2"/>
    <tableColumn id="14" xr3:uid="{83DDBE5C-9AB8-432E-B6EC-0900714F0852}" name="RoHS Status" dataDxfId="65" dataCellStyle="Normal 2"/>
    <tableColumn id="15" xr3:uid="{E5A739E3-772E-4109-84A6-8264447B7682}" name="Lead Free Status" dataDxfId="64" dataCellStyle="Normal 2"/>
    <tableColumn id="16" xr3:uid="{4317AFA4-A1A2-480B-9930-78E13685E7A5}" name="REACH Status" dataDxfId="63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62" totalsRowShown="0" headerRowDxfId="62" dataDxfId="61" tableBorderDxfId="60" headerRowCellStyle="Normal 2">
  <autoFilter ref="A54:O62" xr:uid="{E5775DE7-B0D6-434B-9E81-8E797CB33C8F}"/>
  <tableColumns count="15">
    <tableColumn id="1" xr3:uid="{20A9B34A-0BDE-406C-9284-42396D12E1E8}" name="Manufacturer Part Number" dataDxfId="59"/>
    <tableColumn id="2" xr3:uid="{370D2A53-7D06-4073-A070-AAD23FF99906}" name="Manufacturer" dataDxfId="58"/>
    <tableColumn id="3" xr3:uid="{C2834F26-8D66-4C19-8B65-AAA5D1688301}" name="Digi-Key Part Number" dataDxfId="57"/>
    <tableColumn id="4" xr3:uid="{FB6416D0-BFFD-46A4-B485-8DCAF43A11AB}" name="Customer Reference" dataDxfId="56"/>
    <tableColumn id="5" xr3:uid="{56A695A0-C403-4B74-B146-F0D3B63EA053}" name="Packaging" dataDxfId="55"/>
    <tableColumn id="6" xr3:uid="{20E6FA99-F191-48F9-ACD1-BC6CF10711CE}" name="Part Status" dataDxfId="54"/>
    <tableColumn id="7" xr3:uid="{35B7773A-8FD8-428B-873D-343086AC7F9A}" name="Quantity" dataDxfId="53"/>
    <tableColumn id="8" xr3:uid="{7E0C5B7A-E6F5-442F-8138-B9CC70588614}" name="Unit Price" dataDxfId="52" dataCellStyle="Currency"/>
    <tableColumn id="9" xr3:uid="{AC6F2354-427F-4590-BBC4-C2CCD5E5D76F}" name="Extended Price" dataDxfId="51" dataCellStyle="Currency"/>
    <tableColumn id="10" xr3:uid="{9CB6BCD3-C29A-4EEB-8E62-7BD5605AC29E}" name="Quantity Available" dataDxfId="50"/>
    <tableColumn id="11" xr3:uid="{B7AA4FE9-D5A6-41AB-8B53-DEDADD7AB2C1}" name="Mfg Std Lead Time" dataDxfId="49"/>
    <tableColumn id="12" xr3:uid="{08002C5C-4042-403A-B796-9C757374529C}" name="Description" dataDxfId="48"/>
    <tableColumn id="13" xr3:uid="{C1F04F0D-0F9F-4D6E-B682-02A8FAA992EC}" name="RoHS Status" dataDxfId="47"/>
    <tableColumn id="14" xr3:uid="{DACC60B8-D45B-4197-BD16-E6A586A16303}" name="Lead Free Status" dataDxfId="46"/>
    <tableColumn id="15" xr3:uid="{068DA1C5-D89C-4B2F-A7BC-588FDBF44AE5}" name="REACH Status" dataDxfId="4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0C90D9-5591-435D-9A57-6D1C4B7BEFD8}" name="RBA" displayName="RBA" ref="A2:P13" totalsRowShown="0" headerRowDxfId="44" tableBorderDxfId="43">
  <autoFilter ref="A2:P13" xr:uid="{AEB73607-C281-450A-B481-305282F70C69}"/>
  <tableColumns count="16">
    <tableColumn id="1" xr3:uid="{FD6968EB-79A4-4D7C-9A50-5CB4B2C7F6A1}" name="Manufacturer Part Number"/>
    <tableColumn id="2" xr3:uid="{FD72A6D3-3FA6-44FD-BE25-FCB2629A8650}" name="Manufacturer"/>
    <tableColumn id="3" xr3:uid="{FBD32599-1A4D-424A-8719-4F7BD1A4A1E9}" name="Vendor"/>
    <tableColumn id="4" xr3:uid="{56DC7F47-3AA0-4240-A13D-608EDE41FE13}" name="Customer Reference"/>
    <tableColumn id="5" xr3:uid="{3685AB61-DFAC-418E-BCFE-4993C81E4D37}" name="Packaging"/>
    <tableColumn id="6" xr3:uid="{CE1E7289-E677-4EA0-9B48-3A318464CEA0}" name="Part Status"/>
    <tableColumn id="7" xr3:uid="{F0F5876B-95C1-478E-8B99-8AEBD1E7881B}" name="Quantity"/>
    <tableColumn id="8" xr3:uid="{B40EFB75-6CA1-477E-9AD7-709CC91C4315}" name="Unit Price" dataCellStyle="Currency"/>
    <tableColumn id="9" xr3:uid="{B0B7854F-DDE7-47AE-9A7E-F28BB95FD02B}" name="Extended Price" dataCellStyle="Currency">
      <calculatedColumnFormula>RBA[[#This Row],[Unit Price]]*RBA[[#This Row],[Quantity]]</calculatedColumnFormula>
    </tableColumn>
    <tableColumn id="10" xr3:uid="{E5719B14-4B43-45E0-9D95-85CA6A06C900}" name="Quantity Available"/>
    <tableColumn id="11" xr3:uid="{B05BC704-9E3F-4FAA-93E0-0E40149B11DC}" name="Mfg Std Lead Time"/>
    <tableColumn id="12" xr3:uid="{8589D8DE-47FD-4218-9333-6F648F426D7F}" name="Description"/>
    <tableColumn id="13" xr3:uid="{465DD4A5-859F-46F5-9C85-1509961757EE}" name="RoHS Status"/>
    <tableColumn id="14" xr3:uid="{73913795-6117-436B-B629-CC116D2620D9}" name="Lead Free Status"/>
    <tableColumn id="15" xr3:uid="{967AF6EA-0F78-4720-A5AD-BD888846FB7B}" name="REACH Status"/>
    <tableColumn id="16" xr3:uid="{4576B4C5-9D18-4D3C-B2CB-6A2D043ADC2A}" name="Comment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4753B2-6057-4DAC-98D4-567DB67F9ED1}" name="SRA" displayName="SRA" ref="A17:P35" totalsRowShown="0" headerRowDxfId="42" tableBorderDxfId="41">
  <autoFilter ref="A17:P35" xr:uid="{8D158F84-85D0-468C-8C60-6896E014E9D8}"/>
  <tableColumns count="16">
    <tableColumn id="1" xr3:uid="{3B2B4DD7-772A-4E3D-8DC6-B86B6A94EB1C}" name="Manufacturer Part Number"/>
    <tableColumn id="2" xr3:uid="{B05035E2-8902-4AF5-91D5-ADC2BA8B6A5B}" name="Manufacturer"/>
    <tableColumn id="3" xr3:uid="{1F613FA2-9E8B-4756-8E73-10EEF0A49D66}" name="Vendor"/>
    <tableColumn id="4" xr3:uid="{564D341F-0C97-44E5-B40D-6BD469167724}" name="Customer Reference"/>
    <tableColumn id="5" xr3:uid="{2A6964F6-C2FE-449A-8674-AD5688757EE3}" name="Packaging"/>
    <tableColumn id="6" xr3:uid="{4E1502BD-A328-4A83-8175-DBDC791A20BB}" name="Part Status"/>
    <tableColumn id="7" xr3:uid="{E0DA62D4-AE4D-408C-9CF7-0DD031F3B828}" name="Quantity"/>
    <tableColumn id="8" xr3:uid="{9F5AF217-6F78-4B1C-8CD9-7F3CF5B16A4B}" name="Unit Price" dataDxfId="40" dataCellStyle="Currency">
      <calculatedColumnFormula>SUM(RBA[Extended Price])</calculatedColumnFormula>
    </tableColumn>
    <tableColumn id="9" xr3:uid="{F312066B-E13E-4AFF-B7D3-4005A294EE91}" name="Extended Price" dataDxfId="39" dataCellStyle="Currency">
      <calculatedColumnFormula>SRA[[#This Row],[Quantity]]*SRA[[#This Row],[Unit Price]]</calculatedColumnFormula>
    </tableColumn>
    <tableColumn id="10" xr3:uid="{7560DD9E-4DF4-408A-8F1F-26334960DAA1}" name="Quantity Available"/>
    <tableColumn id="11" xr3:uid="{5C1BBD85-D196-4939-B0BD-2B341F54E26C}" name="Mfg Std Lead Time"/>
    <tableColumn id="12" xr3:uid="{D8CB8D68-7369-4198-8BB3-D19FD2F88BB1}" name="Description"/>
    <tableColumn id="13" xr3:uid="{1A80307A-6FA1-49C7-B8B6-9665E00B70EB}" name="RoHS Status"/>
    <tableColumn id="14" xr3:uid="{D8574FC4-D73B-44B0-9B8A-0828E567198A}" name="Lead Free Status"/>
    <tableColumn id="15" xr3:uid="{7E0988CE-40C7-46BC-A407-C0CBE7461E66}" name="REACH Status"/>
    <tableColumn id="16" xr3:uid="{6135ABE1-F129-4848-8DB1-B6B1720CBF43}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919E9B-C194-4BBF-AFA9-1F8C56ED144E}" name="TCA" displayName="TCA" ref="A39:P52" totalsRowShown="0" headerRowDxfId="38" dataDxfId="37" tableBorderDxfId="36">
  <autoFilter ref="A39:P52" xr:uid="{9555F7CD-18F8-4D46-84A7-EF7650D34002}"/>
  <tableColumns count="16">
    <tableColumn id="1" xr3:uid="{8A761B0A-00F9-4C78-8783-A04399F90AE9}" name="Manufacturer Part Number" dataDxfId="35"/>
    <tableColumn id="2" xr3:uid="{039684A3-BB9E-4242-9748-85D76615FAAC}" name="Manufacturer" dataDxfId="34"/>
    <tableColumn id="3" xr3:uid="{B44D91E1-C285-4F27-96F3-E611B7FD3D3D}" name="Vendor" dataDxfId="33"/>
    <tableColumn id="4" xr3:uid="{C42AE529-C20B-42AB-8787-0BBA20100488}" name="Customer Reference" dataDxfId="32"/>
    <tableColumn id="5" xr3:uid="{D7A391DA-EC7B-4C32-A9DC-7DC614E9F8B4}" name="Packaging" dataDxfId="31"/>
    <tableColumn id="6" xr3:uid="{FB3982F6-4CEB-456D-91DA-6879304CD784}" name="Part Status" dataDxfId="30"/>
    <tableColumn id="7" xr3:uid="{542A82D5-9ECA-4193-8348-A6EF03D52DB6}" name="Quantity" dataDxfId="29"/>
    <tableColumn id="8" xr3:uid="{2322E437-B48D-4D1C-9E35-980121B21FAA}" name="Unit Price" dataDxfId="28" dataCellStyle="Currency">
      <calculatedColumnFormula>0.16/25.4</calculatedColumnFormula>
    </tableColumn>
    <tableColumn id="9" xr3:uid="{90336315-D93B-4B0E-A172-9DC702058042}" name="Extended Price" dataDxfId="27">
      <calculatedColumnFormula>TCA[[#This Row],[Quantity]]*TCA[[#This Row],[Unit Price]]</calculatedColumnFormula>
    </tableColumn>
    <tableColumn id="10" xr3:uid="{26219733-EDA6-4853-B470-2C2A894A77FE}" name="Quantity Available" dataDxfId="26"/>
    <tableColumn id="11" xr3:uid="{BB5C831D-E6BE-4FB0-8EF9-6A3FDD2750E5}" name="Mfg Std Lead Time" dataDxfId="25"/>
    <tableColumn id="12" xr3:uid="{A1906DFC-C069-4F45-86D0-091FF2277624}" name="Description" dataDxfId="24"/>
    <tableColumn id="13" xr3:uid="{D67BB079-A792-4E63-B1A7-BC92BC122B49}" name="RoHS Status" dataDxfId="23"/>
    <tableColumn id="14" xr3:uid="{91B626FC-ECF3-4035-9BAA-C5FD497F4014}" name="Lead Free Status" dataDxfId="22"/>
    <tableColumn id="15" xr3:uid="{1B64D22F-0AF1-4BEA-8A17-37F6B15C0CBD}" name="REACH Status" dataDxfId="21"/>
    <tableColumn id="16" xr3:uid="{7696DDF9-FB5F-4587-B499-62FE20BCD21E}" name="Comments" dataDxfId="2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C1925-2741-4345-A9BA-6DE8C8777635}" name="MMM" displayName="MMM" ref="A56:P60" totalsRowShown="0" headerRowDxfId="19" tableBorderDxfId="18">
  <autoFilter ref="A56:P60" xr:uid="{6B3ABA90-F644-49AE-B4A8-35B1AE8BB9A5}"/>
  <tableColumns count="16">
    <tableColumn id="1" xr3:uid="{55199B66-3D12-4C28-A09F-87A3B104FC68}" name="Manufacturer Part Number" dataDxfId="17"/>
    <tableColumn id="2" xr3:uid="{55B8FCE8-0041-41DD-BE33-B59C91223D97}" name="Manufacturer" dataDxfId="16"/>
    <tableColumn id="3" xr3:uid="{F9D1C8BD-424D-412A-8D79-3E77A2B6C928}" name="Vendor" dataDxfId="15"/>
    <tableColumn id="4" xr3:uid="{39AB8B31-71F8-4FF2-ADFA-6106BBCFAA99}" name="Customer Reference" dataDxfId="14"/>
    <tableColumn id="5" xr3:uid="{20C148B6-29C5-432C-8CE2-2E16763CA5B8}" name="Packaging" dataDxfId="13"/>
    <tableColumn id="6" xr3:uid="{71763499-3C49-4FC8-B422-C8284962915C}" name="Part Status" dataDxfId="12"/>
    <tableColumn id="7" xr3:uid="{F576BBA0-9D66-4E33-947B-507B7915A42F}" name="Quantity" dataDxfId="11"/>
    <tableColumn id="8" xr3:uid="{E340C809-49A6-4A51-BC03-279B852F3B6D}" name="Unit Price" dataDxfId="10" dataCellStyle="Currency">
      <calculatedColumnFormula>22.64*0.044</calculatedColumnFormula>
    </tableColumn>
    <tableColumn id="9" xr3:uid="{41A5AFE4-2471-4E87-9105-41FD03C35944}" name="Extended Price" dataCellStyle="Currency">
      <calculatedColumnFormula>MMM[[#This Row],[Unit Price]]*MMM[[#This Row],[Quantity]]</calculatedColumnFormula>
    </tableColumn>
    <tableColumn id="10" xr3:uid="{12456AE6-1DEB-4E73-B976-421D0E4FBCFC}" name="Quantity Available"/>
    <tableColumn id="11" xr3:uid="{083B3A15-56FA-45E4-9D22-55390475D5E1}" name="Mfg Std Lead Time"/>
    <tableColumn id="12" xr3:uid="{B597A4DC-20B0-49F7-9056-56741D000766}" name="Description"/>
    <tableColumn id="13" xr3:uid="{592A3580-C207-4F37-B577-C10A502063BC}" name="RoHS Status"/>
    <tableColumn id="14" xr3:uid="{1544675B-F422-495B-BFC0-586D6BED0566}" name="Lead Free Status"/>
    <tableColumn id="15" xr3:uid="{9C7AB920-3D19-416F-84D4-A577948E2ACA}" name="REACH Status"/>
    <tableColumn id="16" xr3:uid="{0EF2BAB5-9E4D-48D4-8C1F-3EA31024B9D3}" name="Comments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2D31C1B-02D6-439E-9999-0C254C9510C2}" name="AOM" displayName="AOM" ref="A67:P74" totalsRowShown="0" headerRowDxfId="9" tableBorderDxfId="8">
  <autoFilter ref="A67:P74" xr:uid="{EF8B1442-0279-40CF-B96C-63E7432E59D3}"/>
  <tableColumns count="16">
    <tableColumn id="1" xr3:uid="{0CDC8F98-CF38-4C1B-9A34-3111EC3C83AB}" name="Manufacturer Part Number" dataDxfId="7"/>
    <tableColumn id="2" xr3:uid="{BE957CC1-711C-43E7-A8F6-141565D660C4}" name="Manufacturer" dataDxfId="6"/>
    <tableColumn id="3" xr3:uid="{C8C5BEE8-2CD5-4387-B141-B3743FD89A0F}" name="Vendor" dataDxfId="5"/>
    <tableColumn id="4" xr3:uid="{D5D77B30-7834-47F4-8E37-770AFA34EA4E}" name="Customer Reference" dataDxfId="4"/>
    <tableColumn id="5" xr3:uid="{874B3E4F-CE5D-44A4-8B6E-24C840A3A249}" name="Packaging" dataDxfId="3"/>
    <tableColumn id="6" xr3:uid="{A1969624-BBA0-460D-B49A-2A7BFB3AC4E8}" name="Part Status" dataDxfId="2"/>
    <tableColumn id="7" xr3:uid="{8FB15A43-4134-4964-9018-254357046091}" name="Quantity" dataDxfId="1"/>
    <tableColumn id="8" xr3:uid="{57668411-E27B-4E4E-A52D-ED6E082231E0}" name="Unit Price" dataDxfId="0" dataCellStyle="Currency"/>
    <tableColumn id="9" xr3:uid="{10261EC7-6904-448F-AD12-99364503534E}" name="Extended Price" dataCellStyle="Currency">
      <calculatedColumnFormula>AOM[[#This Row],[Unit Price]]*AOM[[#This Row],[Quantity]]</calculatedColumnFormula>
    </tableColumn>
    <tableColumn id="10" xr3:uid="{93D26A22-B6C6-4748-95BC-32B18E7012D8}" name="Quantity Available"/>
    <tableColumn id="11" xr3:uid="{F4051D35-C716-4F6E-B9F7-FAA9799CB74C}" name="Mfg Std Lead Time"/>
    <tableColumn id="12" xr3:uid="{0A7A1AF5-EC9D-4C71-9FB3-FCDB4E2B48B2}" name="Description"/>
    <tableColumn id="13" xr3:uid="{8E185D5D-ADD1-4091-B750-CE76F7F4E682}" name="RoHS Status"/>
    <tableColumn id="14" xr3:uid="{05C21CC3-FBC1-47CD-9677-0D8C5B36B772}" name="Lead Free Status"/>
    <tableColumn id="15" xr3:uid="{4C52095B-66F2-4531-A1AD-D9133DAAE62C}" name="REACH Status"/>
    <tableColumn id="16" xr3:uid="{3795DEDF-E7AB-4E8A-B231-90083E402C0D}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tabSelected="1" workbookViewId="0">
      <selection activeCell="F13" sqref="F13"/>
    </sheetView>
  </sheetViews>
  <sheetFormatPr defaultRowHeight="14.5" x14ac:dyDescent="0.35"/>
  <cols>
    <col min="1" max="1" width="27.54296875" bestFit="1" customWidth="1"/>
    <col min="2" max="2" width="9.81640625" bestFit="1" customWidth="1"/>
    <col min="3" max="3" width="30.453125" bestFit="1" customWidth="1"/>
    <col min="4" max="4" width="11" bestFit="1" customWidth="1"/>
    <col min="5" max="5" width="12" bestFit="1" customWidth="1"/>
    <col min="6" max="6" width="18.1796875" bestFit="1" customWidth="1"/>
    <col min="7" max="7" width="20" bestFit="1" customWidth="1"/>
    <col min="8" max="8" width="13.453125" bestFit="1" customWidth="1"/>
    <col min="9" max="9" width="11.1796875" bestFit="1" customWidth="1"/>
    <col min="11" max="11" width="13.453125" bestFit="1" customWidth="1"/>
    <col min="12" max="12" width="17.1796875" bestFit="1" customWidth="1"/>
    <col min="13" max="13" width="10.54296875" bestFit="1" customWidth="1"/>
    <col min="14" max="14" width="11.54296875" customWidth="1"/>
    <col min="16" max="16" width="14.54296875" customWidth="1"/>
    <col min="17" max="17" width="17.54296875" customWidth="1"/>
  </cols>
  <sheetData>
    <row r="1" spans="1:18" ht="33.5" x14ac:dyDescent="0.75">
      <c r="A1" s="47" t="s">
        <v>310</v>
      </c>
      <c r="B1" s="47"/>
      <c r="C1" s="47"/>
      <c r="D1" s="47"/>
      <c r="E1" s="47"/>
      <c r="F1" s="47"/>
      <c r="G1" s="47"/>
      <c r="H1" s="47"/>
    </row>
    <row r="2" spans="1:18" ht="23.5" x14ac:dyDescent="0.55000000000000004">
      <c r="A2" s="19" t="s">
        <v>0</v>
      </c>
      <c r="B2" s="20" t="s">
        <v>263</v>
      </c>
      <c r="C2" s="20" t="s">
        <v>3</v>
      </c>
      <c r="D2" s="20" t="s">
        <v>6</v>
      </c>
      <c r="E2" s="20" t="s">
        <v>7</v>
      </c>
      <c r="F2" s="21" t="s">
        <v>8</v>
      </c>
      <c r="G2" s="20" t="s">
        <v>9</v>
      </c>
      <c r="H2" s="20" t="s">
        <v>11</v>
      </c>
      <c r="I2" s="24" t="s">
        <v>311</v>
      </c>
      <c r="K2" s="41" t="s">
        <v>205</v>
      </c>
      <c r="L2" s="42">
        <f>SUM(Table13[Extended Price])</f>
        <v>960.95505744397337</v>
      </c>
    </row>
    <row r="3" spans="1:18" x14ac:dyDescent="0.35">
      <c r="C3" t="s">
        <v>231</v>
      </c>
      <c r="D3">
        <v>2</v>
      </c>
      <c r="E3" s="7">
        <f>Mechanical!I36</f>
        <v>286.27221958812839</v>
      </c>
      <c r="F3" s="7">
        <f>Table13[[#This Row],[Unit Price]]*Table13[[#This Row],[Quantity]]</f>
        <v>572.54443917625679</v>
      </c>
      <c r="I3" t="s">
        <v>313</v>
      </c>
    </row>
    <row r="4" spans="1:18" ht="17.5" thickBot="1" x14ac:dyDescent="0.45">
      <c r="C4" t="s">
        <v>281</v>
      </c>
      <c r="D4">
        <v>1</v>
      </c>
      <c r="E4" s="7">
        <f>Mechanical!I53</f>
        <v>50.351527874015751</v>
      </c>
      <c r="F4" s="7">
        <f>Table13[[#This Row],[Unit Price]]*Table13[[#This Row],[Quantity]]</f>
        <v>50.351527874015751</v>
      </c>
      <c r="I4" t="s">
        <v>313</v>
      </c>
      <c r="K4" s="46" t="s">
        <v>342</v>
      </c>
      <c r="L4" s="46"/>
    </row>
    <row r="5" spans="1:18" ht="26.5" thickTop="1" x14ac:dyDescent="0.6">
      <c r="C5" t="s">
        <v>312</v>
      </c>
      <c r="D5">
        <v>1</v>
      </c>
      <c r="E5" s="7">
        <f>'Electrical '!I63</f>
        <v>163.85000000000002</v>
      </c>
      <c r="F5" s="7">
        <f>Table13[[#This Row],[Unit Price]]*Table13[[#This Row],[Quantity]]</f>
        <v>163.85000000000002</v>
      </c>
      <c r="I5" t="s">
        <v>314</v>
      </c>
      <c r="K5" s="48" t="s">
        <v>331</v>
      </c>
      <c r="L5" s="48"/>
      <c r="M5" s="48" t="s">
        <v>332</v>
      </c>
      <c r="N5" s="48"/>
      <c r="P5" s="45" t="s">
        <v>340</v>
      </c>
      <c r="R5" t="s">
        <v>341</v>
      </c>
    </row>
    <row r="6" spans="1:18" x14ac:dyDescent="0.35">
      <c r="C6" t="s">
        <v>122</v>
      </c>
      <c r="D6">
        <v>4</v>
      </c>
      <c r="E6" s="7">
        <f>'Electrical '!I24</f>
        <v>27.140000000000004</v>
      </c>
      <c r="F6" s="7">
        <f>Table13[[#This Row],[Unit Price]]*Table13[[#This Row],[Quantity]]</f>
        <v>108.56000000000002</v>
      </c>
      <c r="I6" t="s">
        <v>314</v>
      </c>
      <c r="K6" s="38" t="s">
        <v>325</v>
      </c>
      <c r="L6" s="39">
        <v>1.5</v>
      </c>
      <c r="M6" s="38" t="s">
        <v>325</v>
      </c>
      <c r="N6" s="39">
        <f>L6</f>
        <v>1.5</v>
      </c>
      <c r="P6" s="38" t="s">
        <v>325</v>
      </c>
      <c r="Q6">
        <f>N6*(N9+1)</f>
        <v>1.5</v>
      </c>
      <c r="R6">
        <f>Q6*3.28084</f>
        <v>4.9212600000000002</v>
      </c>
    </row>
    <row r="7" spans="1:18" x14ac:dyDescent="0.35">
      <c r="C7" t="s">
        <v>201</v>
      </c>
      <c r="D7">
        <v>1</v>
      </c>
      <c r="E7" s="35">
        <f>'Electrical '!I52</f>
        <v>34.43</v>
      </c>
      <c r="F7" s="7">
        <f>Table13[[#This Row],[Unit Price]]*Table13[[#This Row],[Quantity]]</f>
        <v>34.43</v>
      </c>
      <c r="I7" t="s">
        <v>314</v>
      </c>
      <c r="K7" s="38" t="s">
        <v>326</v>
      </c>
      <c r="L7" s="39">
        <v>2</v>
      </c>
      <c r="M7" s="38" t="s">
        <v>326</v>
      </c>
      <c r="N7" s="39">
        <f t="shared" ref="N7:N8" si="0">L7</f>
        <v>2</v>
      </c>
      <c r="P7" s="38" t="s">
        <v>326</v>
      </c>
      <c r="Q7">
        <f>N7*(N9+1)</f>
        <v>2</v>
      </c>
      <c r="R7">
        <f>Q7*3.28084</f>
        <v>6.56168</v>
      </c>
    </row>
    <row r="8" spans="1:18" x14ac:dyDescent="0.35">
      <c r="C8" t="s">
        <v>324</v>
      </c>
      <c r="D8">
        <v>1</v>
      </c>
      <c r="E8" s="7">
        <f>Mechanical!I64</f>
        <v>31.219090393700789</v>
      </c>
      <c r="F8" s="7">
        <f>Table13[[#This Row],[Unit Price]]*Table13[[#This Row],[Quantity]]</f>
        <v>31.219090393700789</v>
      </c>
      <c r="I8" t="s">
        <v>313</v>
      </c>
      <c r="K8" s="38" t="s">
        <v>327</v>
      </c>
      <c r="L8" s="39">
        <v>2</v>
      </c>
      <c r="M8" s="38" t="s">
        <v>327</v>
      </c>
      <c r="N8" s="39">
        <f t="shared" si="0"/>
        <v>2</v>
      </c>
      <c r="P8" s="38" t="s">
        <v>327</v>
      </c>
      <c r="Q8">
        <f>N8*(N9+1)</f>
        <v>2</v>
      </c>
      <c r="R8">
        <f>Q8*3.28084</f>
        <v>6.56168</v>
      </c>
    </row>
    <row r="9" spans="1:18" x14ac:dyDescent="0.35">
      <c r="C9" t="s">
        <v>339</v>
      </c>
      <c r="D9">
        <f>N9</f>
        <v>0</v>
      </c>
      <c r="E9" s="7">
        <f>Mechanical!I75</f>
        <v>101.2325451968504</v>
      </c>
      <c r="F9" s="7">
        <f>Table13[[#This Row],[Unit Price]]*Table13[[#This Row],[Quantity]]</f>
        <v>0</v>
      </c>
      <c r="I9" t="s">
        <v>313</v>
      </c>
      <c r="M9" s="40" t="s">
        <v>333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O67"/>
  <sheetViews>
    <sheetView workbookViewId="0">
      <selection activeCell="D74" sqref="D74"/>
    </sheetView>
  </sheetViews>
  <sheetFormatPr defaultRowHeight="14.5" x14ac:dyDescent="0.35"/>
  <cols>
    <col min="1" max="1" width="27.54296875" bestFit="1" customWidth="1"/>
    <col min="2" max="2" width="35.7265625" bestFit="1" customWidth="1"/>
    <col min="3" max="3" width="34.54296875" bestFit="1" customWidth="1"/>
    <col min="4" max="4" width="40.7265625" bestFit="1" customWidth="1"/>
    <col min="5" max="5" width="22.7265625" bestFit="1" customWidth="1"/>
    <col min="6" max="6" width="12.7265625" bestFit="1" customWidth="1"/>
    <col min="7" max="7" width="19.7265625" bestFit="1" customWidth="1"/>
    <col min="8" max="8" width="12" bestFit="1" customWidth="1"/>
    <col min="9" max="9" width="16.7265625" bestFit="1" customWidth="1"/>
    <col min="10" max="11" width="20" bestFit="1" customWidth="1"/>
    <col min="12" max="12" width="34.1796875" bestFit="1" customWidth="1"/>
    <col min="13" max="13" width="35.453125" bestFit="1" customWidth="1"/>
    <col min="14" max="15" width="17.81640625" bestFit="1" customWidth="1"/>
    <col min="16" max="16" width="14.8164062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5" ht="58.5" customHeight="1" x14ac:dyDescent="0.75">
      <c r="A1" s="50" t="s">
        <v>202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3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35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5" x14ac:dyDescent="0.35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5" x14ac:dyDescent="0.35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5" x14ac:dyDescent="0.35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5" x14ac:dyDescent="0.35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5" x14ac:dyDescent="0.35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5" x14ac:dyDescent="0.35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5" x14ac:dyDescent="0.35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5" x14ac:dyDescent="0.35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5" x14ac:dyDescent="0.35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5" x14ac:dyDescent="0.35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5" x14ac:dyDescent="0.35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5" x14ac:dyDescent="0.35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5" x14ac:dyDescent="0.35">
      <c r="A17" t="s">
        <v>99</v>
      </c>
      <c r="B17" t="s">
        <v>100</v>
      </c>
      <c r="C17" t="s">
        <v>101</v>
      </c>
      <c r="D17" t="s">
        <v>102</v>
      </c>
      <c r="E17" t="s">
        <v>19</v>
      </c>
      <c r="F17" t="s">
        <v>20</v>
      </c>
      <c r="G17">
        <v>1</v>
      </c>
      <c r="H17" s="5">
        <v>9.66</v>
      </c>
      <c r="I17" s="5">
        <v>9.66</v>
      </c>
      <c r="J17">
        <v>1001</v>
      </c>
      <c r="K17" t="s">
        <v>103</v>
      </c>
      <c r="L17" t="s">
        <v>104</v>
      </c>
      <c r="M17" t="s">
        <v>54</v>
      </c>
      <c r="N17" t="s">
        <v>24</v>
      </c>
      <c r="O17" t="s">
        <v>32</v>
      </c>
    </row>
    <row r="18" spans="1:15" x14ac:dyDescent="0.35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5" x14ac:dyDescent="0.35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5" x14ac:dyDescent="0.35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5" x14ac:dyDescent="0.35">
      <c r="I21" s="5"/>
    </row>
    <row r="22" spans="1:15" x14ac:dyDescent="0.35">
      <c r="I22" s="5"/>
    </row>
    <row r="23" spans="1:15" x14ac:dyDescent="0.35">
      <c r="I23" s="5"/>
    </row>
    <row r="24" spans="1:15" ht="27.75" customHeight="1" x14ac:dyDescent="0.65">
      <c r="A24" s="49" t="s">
        <v>205</v>
      </c>
      <c r="B24" s="49"/>
      <c r="C24" s="49"/>
      <c r="D24" s="49"/>
      <c r="E24" s="49"/>
      <c r="F24" s="49"/>
      <c r="G24" s="49"/>
      <c r="H24" s="49"/>
      <c r="I24" s="5">
        <f>SUM(Table1[Extended Price])</f>
        <v>27.140000000000004</v>
      </c>
    </row>
    <row r="25" spans="1:15" ht="47.25" customHeight="1" x14ac:dyDescent="0.75">
      <c r="A25" s="51" t="s">
        <v>203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x14ac:dyDescent="0.3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5" x14ac:dyDescent="0.35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5" x14ac:dyDescent="0.35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5" x14ac:dyDescent="0.35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5" x14ac:dyDescent="0.35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5" x14ac:dyDescent="0.35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5" x14ac:dyDescent="0.35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 x14ac:dyDescent="0.3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 x14ac:dyDescent="0.3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 x14ac:dyDescent="0.3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 x14ac:dyDescent="0.3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 x14ac:dyDescent="0.3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 x14ac:dyDescent="0.3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 x14ac:dyDescent="0.3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 x14ac:dyDescent="0.3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 x14ac:dyDescent="0.3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 x14ac:dyDescent="0.3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 x14ac:dyDescent="0.3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 x14ac:dyDescent="0.3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 x14ac:dyDescent="0.3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 x14ac:dyDescent="0.3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 x14ac:dyDescent="0.3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 x14ac:dyDescent="0.35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 x14ac:dyDescent="0.35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 x14ac:dyDescent="0.35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 x14ac:dyDescent="0.35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 x14ac:dyDescent="0.65">
      <c r="A52" s="49" t="s">
        <v>205</v>
      </c>
      <c r="B52" s="49"/>
      <c r="C52" s="49"/>
      <c r="D52" s="49"/>
      <c r="E52" s="49"/>
      <c r="F52" s="49"/>
      <c r="G52" s="49"/>
      <c r="H52" s="49"/>
      <c r="I52" s="7">
        <f>SUM(Table2[Extended Price])</f>
        <v>34.43</v>
      </c>
    </row>
    <row r="53" spans="1:15" ht="41.25" customHeight="1" x14ac:dyDescent="0.75">
      <c r="A53" s="52" t="s">
        <v>204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3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 x14ac:dyDescent="0.35">
      <c r="A55" s="8" t="s">
        <v>206</v>
      </c>
      <c r="B55" s="8" t="s">
        <v>207</v>
      </c>
      <c r="C55" s="8" t="s">
        <v>208</v>
      </c>
      <c r="D55" s="8" t="s">
        <v>209</v>
      </c>
      <c r="E55" s="8" t="s">
        <v>210</v>
      </c>
      <c r="F55" s="8" t="s">
        <v>20</v>
      </c>
      <c r="G55" s="8">
        <v>3</v>
      </c>
      <c r="H55" s="10">
        <v>4.5</v>
      </c>
      <c r="I55" s="10">
        <v>13.5</v>
      </c>
      <c r="J55" s="8">
        <v>1125</v>
      </c>
      <c r="K55" s="8" t="s">
        <v>133</v>
      </c>
      <c r="L55" s="8" t="s">
        <v>211</v>
      </c>
      <c r="M55" s="8" t="s">
        <v>23</v>
      </c>
      <c r="N55" s="8" t="s">
        <v>24</v>
      </c>
      <c r="O55" s="8" t="s">
        <v>25</v>
      </c>
    </row>
    <row r="56" spans="1:15" x14ac:dyDescent="0.35">
      <c r="A56" s="8" t="s">
        <v>212</v>
      </c>
      <c r="B56" s="8" t="s">
        <v>207</v>
      </c>
      <c r="C56" s="8" t="s">
        <v>213</v>
      </c>
      <c r="D56" s="8" t="s">
        <v>214</v>
      </c>
      <c r="E56" s="8" t="s">
        <v>51</v>
      </c>
      <c r="F56" s="8" t="s">
        <v>20</v>
      </c>
      <c r="G56" s="8">
        <v>3</v>
      </c>
      <c r="H56" s="10">
        <v>2.75</v>
      </c>
      <c r="I56" s="10">
        <v>8.25</v>
      </c>
      <c r="J56" s="8">
        <v>8439</v>
      </c>
      <c r="K56" s="8" t="s">
        <v>215</v>
      </c>
      <c r="L56" s="8" t="s">
        <v>216</v>
      </c>
      <c r="M56" s="8" t="s">
        <v>23</v>
      </c>
      <c r="N56" s="8" t="s">
        <v>24</v>
      </c>
      <c r="O56" s="8" t="s">
        <v>25</v>
      </c>
    </row>
    <row r="57" spans="1:15" x14ac:dyDescent="0.35">
      <c r="A57" s="8" t="s">
        <v>217</v>
      </c>
      <c r="B57" s="8" t="s">
        <v>218</v>
      </c>
      <c r="C57" s="8" t="s">
        <v>219</v>
      </c>
      <c r="D57" s="8" t="s">
        <v>230</v>
      </c>
      <c r="E57" s="8" t="s">
        <v>51</v>
      </c>
      <c r="F57" s="8" t="s">
        <v>20</v>
      </c>
      <c r="G57" s="8">
        <v>4</v>
      </c>
      <c r="H57" s="10">
        <v>11.63</v>
      </c>
      <c r="I57" s="10">
        <v>46.52</v>
      </c>
      <c r="J57" s="8">
        <v>40</v>
      </c>
      <c r="K57" s="8" t="s">
        <v>58</v>
      </c>
      <c r="L57" s="8" t="s">
        <v>220</v>
      </c>
      <c r="M57" s="8" t="s">
        <v>54</v>
      </c>
      <c r="N57" s="8" t="s">
        <v>24</v>
      </c>
      <c r="O57" s="8" t="s">
        <v>25</v>
      </c>
    </row>
    <row r="58" spans="1:15" x14ac:dyDescent="0.35">
      <c r="A58" s="8" t="s">
        <v>221</v>
      </c>
      <c r="B58" s="8" t="s">
        <v>222</v>
      </c>
      <c r="C58" s="8" t="s">
        <v>223</v>
      </c>
      <c r="D58" s="8" t="s">
        <v>224</v>
      </c>
      <c r="E58" s="8" t="s">
        <v>210</v>
      </c>
      <c r="F58" s="8" t="s">
        <v>20</v>
      </c>
      <c r="G58" s="8">
        <v>1</v>
      </c>
      <c r="H58" s="10">
        <v>36.58</v>
      </c>
      <c r="I58" s="10">
        <v>36.58</v>
      </c>
      <c r="J58" s="8">
        <v>325</v>
      </c>
      <c r="K58" s="8" t="s">
        <v>133</v>
      </c>
      <c r="L58" s="8" t="s">
        <v>225</v>
      </c>
      <c r="M58" s="8" t="s">
        <v>23</v>
      </c>
      <c r="N58" s="8" t="s">
        <v>24</v>
      </c>
      <c r="O58" s="8" t="s">
        <v>25</v>
      </c>
    </row>
    <row r="59" spans="1:15" x14ac:dyDescent="0.35">
      <c r="A59" s="8" t="s">
        <v>226</v>
      </c>
      <c r="B59" s="8" t="s">
        <v>227</v>
      </c>
      <c r="C59" s="8"/>
      <c r="D59" s="8" t="s">
        <v>228</v>
      </c>
      <c r="E59" s="8" t="s">
        <v>210</v>
      </c>
      <c r="F59" s="8" t="s">
        <v>20</v>
      </c>
      <c r="G59" s="8">
        <v>1</v>
      </c>
      <c r="H59" s="10">
        <v>59</v>
      </c>
      <c r="I59" s="10">
        <f>Table5[[#This Row],[Unit Price]]*Table5[[#This Row],[Quantity]]</f>
        <v>59</v>
      </c>
      <c r="J59" s="8">
        <v>2</v>
      </c>
      <c r="K59" s="8"/>
      <c r="L59" s="8" t="s">
        <v>229</v>
      </c>
      <c r="M59" s="8" t="s">
        <v>23</v>
      </c>
      <c r="N59" s="8" t="s">
        <v>24</v>
      </c>
      <c r="O59" s="8" t="s">
        <v>25</v>
      </c>
    </row>
    <row r="60" spans="1:15" x14ac:dyDescent="0.35">
      <c r="A60" s="8"/>
      <c r="B60" s="8"/>
      <c r="C60" s="8"/>
      <c r="D60" s="8"/>
      <c r="E60" s="8"/>
      <c r="F60" s="8"/>
      <c r="G60" s="8"/>
      <c r="H60" s="10"/>
      <c r="I60" s="10"/>
      <c r="J60" s="8"/>
      <c r="K60" s="8"/>
      <c r="L60" s="8"/>
      <c r="M60" s="8"/>
      <c r="N60" s="8"/>
      <c r="O60" s="8"/>
    </row>
    <row r="61" spans="1:15" x14ac:dyDescent="0.35">
      <c r="A61" s="12"/>
      <c r="B61" s="12"/>
      <c r="C61" s="12"/>
      <c r="D61" s="12"/>
      <c r="E61" s="12"/>
      <c r="F61" s="12"/>
      <c r="G61" s="12"/>
      <c r="H61" s="13"/>
      <c r="I61" s="13"/>
      <c r="J61" s="12"/>
      <c r="K61" s="12"/>
      <c r="L61" s="12"/>
      <c r="M61" s="12"/>
      <c r="N61" s="12"/>
      <c r="O61" s="12"/>
    </row>
    <row r="62" spans="1:15" x14ac:dyDescent="0.35">
      <c r="A62" s="12"/>
      <c r="B62" s="12"/>
      <c r="C62" s="12"/>
      <c r="D62" s="12"/>
      <c r="E62" s="12"/>
      <c r="F62" s="12"/>
      <c r="G62" s="12"/>
      <c r="H62" s="13"/>
      <c r="I62" s="13"/>
      <c r="J62" s="12"/>
      <c r="K62" s="12"/>
      <c r="L62" s="12"/>
      <c r="M62" s="12"/>
      <c r="N62" s="12"/>
      <c r="O62" s="12"/>
    </row>
    <row r="63" spans="1:15" ht="27.75" customHeight="1" x14ac:dyDescent="0.65">
      <c r="A63" s="49" t="s">
        <v>205</v>
      </c>
      <c r="B63" s="49"/>
      <c r="C63" s="49"/>
      <c r="D63" s="49"/>
      <c r="E63" s="49"/>
      <c r="F63" s="49"/>
      <c r="G63" s="49"/>
      <c r="H63" s="49"/>
      <c r="I63" s="7">
        <f>SUM(Table5[Extended Price])</f>
        <v>163.85000000000002</v>
      </c>
    </row>
    <row r="65" customFormat="1" x14ac:dyDescent="0.35"/>
    <row r="66" customFormat="1" x14ac:dyDescent="0.35"/>
    <row r="67" customFormat="1" x14ac:dyDescent="0.35"/>
  </sheetData>
  <mergeCells count="6">
    <mergeCell ref="A63:H63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B3BB-C29D-41B2-82D5-D9E5E331DAA0}">
  <dimension ref="A1:AF75"/>
  <sheetViews>
    <sheetView topLeftCell="A13" workbookViewId="0">
      <selection activeCell="K22" sqref="K22"/>
    </sheetView>
  </sheetViews>
  <sheetFormatPr defaultRowHeight="14.5" x14ac:dyDescent="0.35"/>
  <cols>
    <col min="1" max="1" width="27.54296875" bestFit="1" customWidth="1"/>
    <col min="2" max="2" width="15.54296875" bestFit="1" customWidth="1"/>
    <col min="3" max="3" width="22.7265625" bestFit="1" customWidth="1"/>
    <col min="4" max="4" width="21.7265625" bestFit="1" customWidth="1"/>
    <col min="5" max="5" width="12" bestFit="1" customWidth="1"/>
    <col min="6" max="6" width="12.7265625" bestFit="1" customWidth="1"/>
    <col min="7" max="7" width="11" bestFit="1" customWidth="1"/>
    <col min="8" max="8" width="12" bestFit="1" customWidth="1"/>
    <col min="9" max="9" width="18.1796875" bestFit="1" customWidth="1"/>
    <col min="10" max="10" width="20" bestFit="1" customWidth="1"/>
    <col min="11" max="11" width="19.81640625" bestFit="1" customWidth="1"/>
    <col min="12" max="12" width="47" bestFit="1" customWidth="1"/>
    <col min="13" max="13" width="13.7265625" bestFit="1" customWidth="1"/>
    <col min="14" max="14" width="17.81640625" bestFit="1" customWidth="1"/>
    <col min="15" max="15" width="15" bestFit="1" customWidth="1"/>
    <col min="16" max="16" width="12.81640625" bestFit="1" customWidth="1"/>
  </cols>
  <sheetData>
    <row r="1" spans="1:32" ht="55.5" customHeight="1" x14ac:dyDescent="0.8">
      <c r="A1" s="54" t="s">
        <v>344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Q1" s="19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6</v>
      </c>
      <c r="X1" s="20" t="s">
        <v>7</v>
      </c>
      <c r="Y1" s="21" t="s">
        <v>8</v>
      </c>
      <c r="Z1" s="20" t="s">
        <v>9</v>
      </c>
      <c r="AA1" s="20" t="s">
        <v>10</v>
      </c>
      <c r="AB1" s="20" t="s">
        <v>11</v>
      </c>
      <c r="AC1" s="20" t="s">
        <v>12</v>
      </c>
      <c r="AD1" s="20" t="s">
        <v>13</v>
      </c>
      <c r="AE1" s="22" t="s">
        <v>14</v>
      </c>
      <c r="AF1" s="22" t="s">
        <v>238</v>
      </c>
    </row>
    <row r="2" spans="1:32" x14ac:dyDescent="0.35">
      <c r="A2" s="14" t="s">
        <v>0</v>
      </c>
      <c r="B2" s="15" t="s">
        <v>1</v>
      </c>
      <c r="C2" s="15" t="s">
        <v>263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6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7" t="s">
        <v>14</v>
      </c>
      <c r="P2" s="18" t="s">
        <v>238</v>
      </c>
    </row>
    <row r="3" spans="1:32" x14ac:dyDescent="0.35">
      <c r="A3" t="s">
        <v>232</v>
      </c>
      <c r="B3" t="s">
        <v>233</v>
      </c>
      <c r="C3" t="s">
        <v>264</v>
      </c>
      <c r="D3" t="s">
        <v>234</v>
      </c>
      <c r="E3" t="s">
        <v>210</v>
      </c>
      <c r="F3" t="s">
        <v>20</v>
      </c>
      <c r="G3">
        <v>10</v>
      </c>
      <c r="H3" s="5">
        <v>1</v>
      </c>
      <c r="I3" s="5">
        <f>RBA[[#This Row],[Unit Price]]*RBA[[#This Row],[Quantity]]</f>
        <v>10</v>
      </c>
      <c r="J3" t="s">
        <v>235</v>
      </c>
      <c r="K3" t="s">
        <v>235</v>
      </c>
      <c r="L3" t="s">
        <v>236</v>
      </c>
      <c r="M3" t="s">
        <v>235</v>
      </c>
      <c r="N3" t="s">
        <v>235</v>
      </c>
      <c r="O3" t="s">
        <v>235</v>
      </c>
      <c r="P3" t="s">
        <v>239</v>
      </c>
    </row>
    <row r="4" spans="1:32" x14ac:dyDescent="0.35">
      <c r="A4" t="s">
        <v>251</v>
      </c>
      <c r="B4" t="s">
        <v>252</v>
      </c>
      <c r="C4" t="s">
        <v>264</v>
      </c>
      <c r="D4" t="s">
        <v>240</v>
      </c>
      <c r="E4" t="s">
        <v>241</v>
      </c>
      <c r="F4" t="s">
        <v>20</v>
      </c>
      <c r="G4">
        <v>28</v>
      </c>
      <c r="H4">
        <f>(16.68/100)</f>
        <v>0.1668</v>
      </c>
      <c r="I4" s="5">
        <f>RBA[[#This Row],[Unit Price]]*RBA[[#This Row],[Quantity]]</f>
        <v>4.6703999999999999</v>
      </c>
      <c r="J4" t="s">
        <v>235</v>
      </c>
      <c r="K4" t="s">
        <v>235</v>
      </c>
      <c r="L4" t="s">
        <v>242</v>
      </c>
      <c r="M4" t="s">
        <v>235</v>
      </c>
      <c r="N4" t="s">
        <v>235</v>
      </c>
      <c r="O4" t="s">
        <v>235</v>
      </c>
      <c r="P4" t="s">
        <v>243</v>
      </c>
    </row>
    <row r="5" spans="1:32" x14ac:dyDescent="0.35">
      <c r="A5" t="s">
        <v>244</v>
      </c>
      <c r="B5" t="s">
        <v>245</v>
      </c>
      <c r="C5" t="s">
        <v>245</v>
      </c>
      <c r="D5" t="s">
        <v>246</v>
      </c>
      <c r="E5" t="s">
        <v>210</v>
      </c>
      <c r="F5" t="s">
        <v>20</v>
      </c>
      <c r="G5">
        <v>550</v>
      </c>
      <c r="H5" s="5">
        <f>0.28/25.4</f>
        <v>1.1023622047244096E-2</v>
      </c>
      <c r="I5" s="5">
        <f>RBA[[#This Row],[Unit Price]]*RBA[[#This Row],[Quantity]]</f>
        <v>6.0629921259842527</v>
      </c>
      <c r="J5" t="s">
        <v>235</v>
      </c>
      <c r="K5" t="s">
        <v>235</v>
      </c>
      <c r="L5" t="s">
        <v>248</v>
      </c>
      <c r="M5" t="s">
        <v>235</v>
      </c>
      <c r="N5" t="s">
        <v>235</v>
      </c>
      <c r="O5" t="s">
        <v>235</v>
      </c>
      <c r="P5" t="s">
        <v>247</v>
      </c>
    </row>
    <row r="6" spans="1:32" x14ac:dyDescent="0.35">
      <c r="B6" t="s">
        <v>250</v>
      </c>
      <c r="C6" t="s">
        <v>264</v>
      </c>
      <c r="D6" t="s">
        <v>276</v>
      </c>
      <c r="E6" t="s">
        <v>241</v>
      </c>
      <c r="F6" t="s">
        <v>20</v>
      </c>
      <c r="G6">
        <v>16</v>
      </c>
      <c r="H6">
        <f>9.49/100</f>
        <v>9.4899999999999998E-2</v>
      </c>
      <c r="I6" s="5">
        <f>RBA[[#This Row],[Unit Price]]*RBA[[#This Row],[Quantity]]</f>
        <v>1.5184</v>
      </c>
      <c r="J6" t="s">
        <v>235</v>
      </c>
      <c r="K6" t="s">
        <v>235</v>
      </c>
      <c r="L6" t="s">
        <v>249</v>
      </c>
      <c r="M6" t="s">
        <v>235</v>
      </c>
      <c r="N6" t="s">
        <v>235</v>
      </c>
      <c r="O6" t="s">
        <v>235</v>
      </c>
      <c r="P6" t="s">
        <v>243</v>
      </c>
    </row>
    <row r="7" spans="1:32" x14ac:dyDescent="0.35">
      <c r="A7" t="s">
        <v>254</v>
      </c>
      <c r="B7" t="s">
        <v>253</v>
      </c>
      <c r="C7" t="s">
        <v>264</v>
      </c>
      <c r="D7" t="s">
        <v>256</v>
      </c>
      <c r="E7" t="s">
        <v>255</v>
      </c>
      <c r="F7" t="s">
        <v>20</v>
      </c>
      <c r="G7">
        <v>4</v>
      </c>
      <c r="H7" s="5">
        <f>22.64*0.006</f>
        <v>0.13584000000000002</v>
      </c>
      <c r="I7" s="5">
        <f>RBA[[#This Row],[Unit Price]]*RBA[[#This Row],[Quantity]]</f>
        <v>0.54336000000000007</v>
      </c>
      <c r="J7" t="s">
        <v>235</v>
      </c>
      <c r="K7" t="s">
        <v>235</v>
      </c>
      <c r="L7" t="s">
        <v>257</v>
      </c>
      <c r="M7" t="s">
        <v>235</v>
      </c>
      <c r="N7" t="s">
        <v>235</v>
      </c>
      <c r="O7" t="s">
        <v>235</v>
      </c>
      <c r="P7" t="s">
        <v>258</v>
      </c>
    </row>
    <row r="8" spans="1:32" ht="27.75" customHeight="1" x14ac:dyDescent="0.35">
      <c r="A8" t="s">
        <v>254</v>
      </c>
      <c r="B8" t="s">
        <v>253</v>
      </c>
      <c r="C8" t="s">
        <v>264</v>
      </c>
      <c r="D8" t="s">
        <v>345</v>
      </c>
      <c r="E8" t="s">
        <v>255</v>
      </c>
      <c r="F8" t="s">
        <v>20</v>
      </c>
      <c r="G8">
        <v>2</v>
      </c>
      <c r="H8" s="5">
        <f>22.64*0.029</f>
        <v>0.65656000000000003</v>
      </c>
      <c r="I8" s="5">
        <f>RBA[[#This Row],[Unit Price]]*RBA[[#This Row],[Quantity]]</f>
        <v>1.3131200000000001</v>
      </c>
      <c r="J8" t="s">
        <v>235</v>
      </c>
      <c r="K8" t="s">
        <v>235</v>
      </c>
      <c r="L8" t="s">
        <v>346</v>
      </c>
      <c r="M8" t="s">
        <v>235</v>
      </c>
      <c r="N8" t="s">
        <v>235</v>
      </c>
      <c r="O8" t="s">
        <v>235</v>
      </c>
      <c r="P8" t="s">
        <v>258</v>
      </c>
    </row>
    <row r="9" spans="1:32" x14ac:dyDescent="0.35">
      <c r="A9" t="s">
        <v>254</v>
      </c>
      <c r="B9" t="s">
        <v>253</v>
      </c>
      <c r="C9" t="s">
        <v>264</v>
      </c>
      <c r="D9" t="s">
        <v>347</v>
      </c>
      <c r="E9" t="s">
        <v>255</v>
      </c>
      <c r="F9" t="s">
        <v>20</v>
      </c>
      <c r="G9">
        <v>2</v>
      </c>
      <c r="H9" s="5">
        <f>22.64*0.022</f>
        <v>0.49807999999999997</v>
      </c>
      <c r="I9" s="5">
        <f>RBA[[#This Row],[Unit Price]]*RBA[[#This Row],[Quantity]]</f>
        <v>0.99615999999999993</v>
      </c>
      <c r="J9" t="s">
        <v>235</v>
      </c>
      <c r="K9" t="s">
        <v>235</v>
      </c>
      <c r="L9" t="s">
        <v>348</v>
      </c>
      <c r="M9" t="s">
        <v>235</v>
      </c>
      <c r="N9" t="s">
        <v>235</v>
      </c>
      <c r="O9" t="s">
        <v>235</v>
      </c>
      <c r="P9" t="s">
        <v>258</v>
      </c>
    </row>
    <row r="10" spans="1:32" ht="60.75" customHeight="1" x14ac:dyDescent="0.35">
      <c r="A10" t="s">
        <v>349</v>
      </c>
      <c r="B10" t="s">
        <v>350</v>
      </c>
      <c r="C10" t="s">
        <v>264</v>
      </c>
      <c r="D10" t="s">
        <v>351</v>
      </c>
      <c r="E10" t="s">
        <v>210</v>
      </c>
      <c r="F10" t="s">
        <v>20</v>
      </c>
      <c r="G10">
        <v>6</v>
      </c>
      <c r="H10" s="5">
        <v>0.32</v>
      </c>
      <c r="I10" s="5">
        <f>RBA[[#This Row],[Unit Price]]*RBA[[#This Row],[Quantity]]</f>
        <v>1.92</v>
      </c>
      <c r="J10" t="s">
        <v>235</v>
      </c>
      <c r="K10" t="s">
        <v>235</v>
      </c>
      <c r="L10" t="s">
        <v>352</v>
      </c>
      <c r="M10" t="s">
        <v>235</v>
      </c>
      <c r="N10" t="s">
        <v>235</v>
      </c>
      <c r="O10" t="s">
        <v>235</v>
      </c>
      <c r="P10" t="s">
        <v>353</v>
      </c>
    </row>
    <row r="11" spans="1:32" x14ac:dyDescent="0.35">
      <c r="B11" t="s">
        <v>250</v>
      </c>
      <c r="C11" t="s">
        <v>264</v>
      </c>
      <c r="D11" t="s">
        <v>354</v>
      </c>
      <c r="E11" t="s">
        <v>241</v>
      </c>
      <c r="F11" t="s">
        <v>20</v>
      </c>
      <c r="G11">
        <v>14</v>
      </c>
      <c r="H11">
        <v>9.4899999999999998E-2</v>
      </c>
      <c r="I11" s="5">
        <f>RBA[[#This Row],[Unit Price]]*RBA[[#This Row],[Quantity]]</f>
        <v>1.3286</v>
      </c>
      <c r="J11" t="s">
        <v>235</v>
      </c>
      <c r="K11" t="s">
        <v>235</v>
      </c>
      <c r="L11" t="s">
        <v>355</v>
      </c>
      <c r="M11" t="s">
        <v>235</v>
      </c>
      <c r="N11" t="s">
        <v>235</v>
      </c>
      <c r="O11" t="s">
        <v>235</v>
      </c>
      <c r="P11" t="s">
        <v>243</v>
      </c>
    </row>
    <row r="12" spans="1:32" x14ac:dyDescent="0.35">
      <c r="A12" t="s">
        <v>357</v>
      </c>
      <c r="B12" t="s">
        <v>358</v>
      </c>
      <c r="C12" t="s">
        <v>264</v>
      </c>
      <c r="D12" t="s">
        <v>359</v>
      </c>
      <c r="E12" t="s">
        <v>241</v>
      </c>
      <c r="F12" t="s">
        <v>20</v>
      </c>
      <c r="G12">
        <v>4</v>
      </c>
      <c r="H12" s="5">
        <v>1</v>
      </c>
      <c r="I12" s="5">
        <f>RBA[[#This Row],[Unit Price]]*RBA[[#This Row],[Quantity]]</f>
        <v>4</v>
      </c>
      <c r="J12" t="s">
        <v>235</v>
      </c>
      <c r="K12" t="s">
        <v>235</v>
      </c>
      <c r="L12" t="s">
        <v>360</v>
      </c>
      <c r="M12" t="s">
        <v>235</v>
      </c>
      <c r="N12" t="s">
        <v>235</v>
      </c>
      <c r="O12" t="s">
        <v>235</v>
      </c>
      <c r="P12" t="s">
        <v>361</v>
      </c>
    </row>
    <row r="13" spans="1:32" x14ac:dyDescent="0.35">
      <c r="A13" t="s">
        <v>366</v>
      </c>
      <c r="B13" t="s">
        <v>363</v>
      </c>
      <c r="C13" t="s">
        <v>264</v>
      </c>
      <c r="D13" t="s">
        <v>362</v>
      </c>
      <c r="E13" t="s">
        <v>241</v>
      </c>
      <c r="F13" t="s">
        <v>20</v>
      </c>
      <c r="G13">
        <v>4</v>
      </c>
      <c r="H13" s="5">
        <f>11.98/5</f>
        <v>2.3959999999999999</v>
      </c>
      <c r="I13" s="5">
        <f>RBA[[#This Row],[Unit Price]]*RBA[[#This Row],[Quantity]]</f>
        <v>9.5839999999999996</v>
      </c>
      <c r="J13" t="s">
        <v>235</v>
      </c>
      <c r="K13" t="s">
        <v>235</v>
      </c>
      <c r="L13" t="s">
        <v>364</v>
      </c>
      <c r="M13" t="s">
        <v>235</v>
      </c>
      <c r="N13" t="s">
        <v>235</v>
      </c>
      <c r="O13" t="s">
        <v>235</v>
      </c>
      <c r="P13" t="s">
        <v>365</v>
      </c>
    </row>
    <row r="14" spans="1:32" ht="28.5" x14ac:dyDescent="0.65">
      <c r="A14" s="49" t="s">
        <v>205</v>
      </c>
      <c r="B14" s="49"/>
      <c r="C14" s="49"/>
      <c r="D14" s="49"/>
      <c r="E14" s="49"/>
      <c r="F14" s="49"/>
      <c r="G14" s="49"/>
      <c r="H14" s="49"/>
      <c r="I14" s="5">
        <f>SUM(RBA[Extended Price])</f>
        <v>41.93703212598426</v>
      </c>
    </row>
    <row r="16" spans="1:32" ht="36" x14ac:dyDescent="0.8">
      <c r="A16" s="55" t="s">
        <v>231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1:16" x14ac:dyDescent="0.35">
      <c r="A17" s="23" t="s">
        <v>0</v>
      </c>
      <c r="B17" s="24" t="s">
        <v>1</v>
      </c>
      <c r="C17" s="24" t="s">
        <v>263</v>
      </c>
      <c r="D17" s="24" t="s">
        <v>3</v>
      </c>
      <c r="E17" s="24" t="s">
        <v>4</v>
      </c>
      <c r="F17" s="24" t="s">
        <v>5</v>
      </c>
      <c r="G17" s="24" t="s">
        <v>6</v>
      </c>
      <c r="H17" s="24" t="s">
        <v>7</v>
      </c>
      <c r="I17" s="25" t="s">
        <v>8</v>
      </c>
      <c r="J17" s="24" t="s">
        <v>9</v>
      </c>
      <c r="K17" s="24" t="s">
        <v>10</v>
      </c>
      <c r="L17" s="24" t="s">
        <v>11</v>
      </c>
      <c r="M17" s="24" t="s">
        <v>12</v>
      </c>
      <c r="N17" s="24" t="s">
        <v>13</v>
      </c>
      <c r="O17" s="26" t="s">
        <v>14</v>
      </c>
      <c r="P17" s="26" t="s">
        <v>238</v>
      </c>
    </row>
    <row r="18" spans="1:16" x14ac:dyDescent="0.35">
      <c r="A18" t="s">
        <v>235</v>
      </c>
      <c r="B18" t="s">
        <v>235</v>
      </c>
      <c r="C18" t="s">
        <v>265</v>
      </c>
      <c r="D18" t="s">
        <v>237</v>
      </c>
      <c r="G18">
        <v>1</v>
      </c>
      <c r="H18" s="5">
        <f>SUM(RBA[Extended Price])</f>
        <v>41.93703212598426</v>
      </c>
      <c r="I18" s="5">
        <f>SRA[[#This Row],[Quantity]]*SRA[[#This Row],[Unit Price]]</f>
        <v>41.93703212598426</v>
      </c>
      <c r="J18" t="s">
        <v>235</v>
      </c>
      <c r="K18" t="s">
        <v>235</v>
      </c>
      <c r="L18" t="s">
        <v>259</v>
      </c>
      <c r="M18" t="s">
        <v>235</v>
      </c>
      <c r="N18" t="s">
        <v>235</v>
      </c>
      <c r="O18" t="s">
        <v>235</v>
      </c>
      <c r="P18" t="s">
        <v>260</v>
      </c>
    </row>
    <row r="19" spans="1:16" x14ac:dyDescent="0.35">
      <c r="A19" t="s">
        <v>262</v>
      </c>
      <c r="B19" t="s">
        <v>266</v>
      </c>
      <c r="C19" t="s">
        <v>266</v>
      </c>
      <c r="D19" t="s">
        <v>261</v>
      </c>
      <c r="E19" t="s">
        <v>210</v>
      </c>
      <c r="F19" t="s">
        <v>20</v>
      </c>
      <c r="G19">
        <v>1</v>
      </c>
      <c r="H19" s="5">
        <v>1.8</v>
      </c>
      <c r="I19" s="5">
        <f>SRA[[#This Row],[Quantity]]*SRA[[#This Row],[Unit Price]]</f>
        <v>1.8</v>
      </c>
      <c r="J19">
        <v>8446</v>
      </c>
      <c r="K19" t="s">
        <v>235</v>
      </c>
      <c r="L19" t="s">
        <v>267</v>
      </c>
      <c r="M19" t="s">
        <v>235</v>
      </c>
      <c r="N19" t="s">
        <v>235</v>
      </c>
      <c r="O19" t="s">
        <v>235</v>
      </c>
    </row>
    <row r="20" spans="1:16" x14ac:dyDescent="0.35">
      <c r="A20" t="s">
        <v>271</v>
      </c>
      <c r="B20" t="s">
        <v>266</v>
      </c>
      <c r="C20" t="s">
        <v>266</v>
      </c>
      <c r="D20" t="s">
        <v>269</v>
      </c>
      <c r="E20" t="s">
        <v>210</v>
      </c>
      <c r="F20" t="s">
        <v>20</v>
      </c>
      <c r="G20">
        <v>1</v>
      </c>
      <c r="H20" s="5">
        <v>53.5</v>
      </c>
      <c r="I20" s="5">
        <f>SRA[[#This Row],[Quantity]]*SRA[[#This Row],[Unit Price]]</f>
        <v>53.5</v>
      </c>
      <c r="J20">
        <v>141</v>
      </c>
      <c r="K20" t="s">
        <v>235</v>
      </c>
      <c r="L20" t="s">
        <v>270</v>
      </c>
      <c r="M20" t="s">
        <v>235</v>
      </c>
      <c r="N20" t="s">
        <v>235</v>
      </c>
      <c r="O20" t="s">
        <v>235</v>
      </c>
    </row>
    <row r="21" spans="1:16" x14ac:dyDescent="0.35">
      <c r="A21" t="s">
        <v>254</v>
      </c>
      <c r="B21" t="s">
        <v>253</v>
      </c>
      <c r="C21" t="s">
        <v>264</v>
      </c>
      <c r="D21" t="s">
        <v>368</v>
      </c>
      <c r="E21" t="s">
        <v>255</v>
      </c>
      <c r="F21" t="s">
        <v>20</v>
      </c>
      <c r="G21">
        <v>2</v>
      </c>
      <c r="H21" s="5">
        <f>22.64*0.026</f>
        <v>0.58863999999999994</v>
      </c>
      <c r="I21" s="7">
        <f>SRA[[#This Row],[Unit Price]]*SRA[[#This Row],[Quantity]]</f>
        <v>1.1772799999999999</v>
      </c>
      <c r="J21" t="s">
        <v>235</v>
      </c>
      <c r="K21" t="s">
        <v>235</v>
      </c>
      <c r="L21" t="s">
        <v>369</v>
      </c>
      <c r="M21" t="s">
        <v>235</v>
      </c>
      <c r="N21" t="s">
        <v>235</v>
      </c>
      <c r="O21" t="s">
        <v>235</v>
      </c>
      <c r="P21" t="s">
        <v>258</v>
      </c>
    </row>
    <row r="22" spans="1:16" x14ac:dyDescent="0.35">
      <c r="B22" t="s">
        <v>373</v>
      </c>
      <c r="C22" t="s">
        <v>264</v>
      </c>
      <c r="D22" t="s">
        <v>371</v>
      </c>
      <c r="E22" t="s">
        <v>210</v>
      </c>
      <c r="F22" t="s">
        <v>20</v>
      </c>
      <c r="G22">
        <v>2</v>
      </c>
      <c r="H22">
        <f>18.99/8</f>
        <v>2.3737499999999998</v>
      </c>
      <c r="I22">
        <f>SRA[[#This Row],[Unit Price]]*SRA[[#This Row],[Quantity]]</f>
        <v>4.7474999999999996</v>
      </c>
      <c r="J22" t="s">
        <v>235</v>
      </c>
      <c r="K22" t="s">
        <v>235</v>
      </c>
      <c r="L22" t="s">
        <v>372</v>
      </c>
      <c r="M22" t="s">
        <v>235</v>
      </c>
      <c r="N22" t="s">
        <v>235</v>
      </c>
      <c r="O22" t="s">
        <v>235</v>
      </c>
    </row>
    <row r="23" spans="1:16" x14ac:dyDescent="0.35">
      <c r="A23" t="s">
        <v>391</v>
      </c>
      <c r="B23" t="s">
        <v>392</v>
      </c>
      <c r="C23" t="s">
        <v>392</v>
      </c>
      <c r="D23" t="s">
        <v>356</v>
      </c>
      <c r="E23" t="s">
        <v>210</v>
      </c>
      <c r="F23" t="s">
        <v>20</v>
      </c>
      <c r="G23">
        <v>1</v>
      </c>
      <c r="H23" s="5">
        <v>16.04</v>
      </c>
      <c r="I23" s="5">
        <f>SRA[[#This Row],[Quantity]]*SRA[[#This Row],[Unit Price]]</f>
        <v>16.04</v>
      </c>
      <c r="J23" t="s">
        <v>235</v>
      </c>
      <c r="K23" t="s">
        <v>235</v>
      </c>
      <c r="L23" t="s">
        <v>393</v>
      </c>
      <c r="M23" t="s">
        <v>235</v>
      </c>
      <c r="N23" t="s">
        <v>235</v>
      </c>
      <c r="O23" t="s">
        <v>235</v>
      </c>
    </row>
    <row r="24" spans="1:16" x14ac:dyDescent="0.35">
      <c r="A24" t="s">
        <v>254</v>
      </c>
      <c r="B24" t="s">
        <v>253</v>
      </c>
      <c r="C24" t="s">
        <v>264</v>
      </c>
      <c r="D24" t="s">
        <v>374</v>
      </c>
      <c r="E24" t="s">
        <v>255</v>
      </c>
      <c r="F24" t="s">
        <v>20</v>
      </c>
      <c r="G24">
        <v>2</v>
      </c>
      <c r="H24" s="5">
        <f>22.64*0.095</f>
        <v>2.1508000000000003</v>
      </c>
      <c r="I24" s="5">
        <f>SRA[[#This Row],[Quantity]]*SRA[[#This Row],[Unit Price]]</f>
        <v>4.3016000000000005</v>
      </c>
      <c r="J24" t="s">
        <v>235</v>
      </c>
      <c r="K24" t="s">
        <v>235</v>
      </c>
      <c r="L24" t="s">
        <v>273</v>
      </c>
      <c r="M24" t="s">
        <v>235</v>
      </c>
      <c r="N24" t="s">
        <v>235</v>
      </c>
      <c r="O24" t="s">
        <v>235</v>
      </c>
      <c r="P24" t="s">
        <v>258</v>
      </c>
    </row>
    <row r="25" spans="1:16" x14ac:dyDescent="0.35">
      <c r="A25" t="s">
        <v>254</v>
      </c>
      <c r="B25" t="s">
        <v>253</v>
      </c>
      <c r="C25" t="s">
        <v>264</v>
      </c>
      <c r="D25" t="s">
        <v>375</v>
      </c>
      <c r="E25" t="s">
        <v>255</v>
      </c>
      <c r="F25" t="s">
        <v>20</v>
      </c>
      <c r="G25">
        <v>2</v>
      </c>
      <c r="H25" s="5">
        <f>22.64*0.015</f>
        <v>0.33960000000000001</v>
      </c>
      <c r="I25" s="5">
        <f>SRA[[#This Row],[Quantity]]*SRA[[#This Row],[Unit Price]]</f>
        <v>0.67920000000000003</v>
      </c>
      <c r="J25" t="s">
        <v>235</v>
      </c>
      <c r="K25" t="s">
        <v>235</v>
      </c>
      <c r="L25" t="s">
        <v>274</v>
      </c>
      <c r="M25" t="s">
        <v>235</v>
      </c>
      <c r="N25" t="s">
        <v>235</v>
      </c>
      <c r="O25" t="s">
        <v>235</v>
      </c>
      <c r="P25" t="s">
        <v>258</v>
      </c>
    </row>
    <row r="26" spans="1:16" x14ac:dyDescent="0.35">
      <c r="B26" t="s">
        <v>275</v>
      </c>
      <c r="C26" t="s">
        <v>264</v>
      </c>
      <c r="D26" t="s">
        <v>380</v>
      </c>
      <c r="E26" t="s">
        <v>210</v>
      </c>
      <c r="F26" t="s">
        <v>20</v>
      </c>
      <c r="G26">
        <v>2</v>
      </c>
      <c r="H26" s="5">
        <f>12.99/195</f>
        <v>6.6615384615384618E-2</v>
      </c>
      <c r="I26" s="5">
        <f>SRA[[#This Row],[Quantity]]*SRA[[#This Row],[Unit Price]]</f>
        <v>0.13323076923076924</v>
      </c>
      <c r="J26" t="s">
        <v>235</v>
      </c>
      <c r="K26" t="s">
        <v>235</v>
      </c>
      <c r="L26" t="s">
        <v>277</v>
      </c>
      <c r="M26" t="s">
        <v>235</v>
      </c>
      <c r="N26" t="s">
        <v>235</v>
      </c>
      <c r="O26" t="s">
        <v>235</v>
      </c>
      <c r="P26" t="s">
        <v>243</v>
      </c>
    </row>
    <row r="27" spans="1:16" x14ac:dyDescent="0.35">
      <c r="A27" t="s">
        <v>370</v>
      </c>
      <c r="B27" t="s">
        <v>245</v>
      </c>
      <c r="C27" t="s">
        <v>377</v>
      </c>
      <c r="D27" t="s">
        <v>367</v>
      </c>
      <c r="E27" t="s">
        <v>210</v>
      </c>
      <c r="F27" t="s">
        <v>20</v>
      </c>
      <c r="G27">
        <f>Overall!L8*1000</f>
        <v>2000</v>
      </c>
      <c r="H27" s="5">
        <v>2.6599999999999999E-2</v>
      </c>
      <c r="I27" s="5">
        <f>SRA[[#This Row],[Quantity]]*SRA[[#This Row],[Unit Price]]</f>
        <v>53.199999999999996</v>
      </c>
      <c r="J27" t="s">
        <v>235</v>
      </c>
      <c r="K27" t="s">
        <v>235</v>
      </c>
      <c r="L27" t="s">
        <v>268</v>
      </c>
      <c r="M27" t="s">
        <v>235</v>
      </c>
      <c r="N27" t="s">
        <v>235</v>
      </c>
      <c r="O27" t="s">
        <v>235</v>
      </c>
      <c r="P27" t="s">
        <v>247</v>
      </c>
    </row>
    <row r="28" spans="1:16" x14ac:dyDescent="0.35">
      <c r="A28" t="s">
        <v>343</v>
      </c>
      <c r="B28" t="s">
        <v>245</v>
      </c>
      <c r="C28" t="s">
        <v>264</v>
      </c>
      <c r="D28" t="s">
        <v>329</v>
      </c>
      <c r="E28" t="s">
        <v>210</v>
      </c>
      <c r="F28" t="s">
        <v>20</v>
      </c>
      <c r="G28">
        <f>Overall!L6*1000</f>
        <v>1500</v>
      </c>
      <c r="H28" s="5">
        <f>0.48/25.4</f>
        <v>1.889763779527559E-2</v>
      </c>
      <c r="I28" s="5">
        <f>SRA[[#This Row],[Quantity]]*SRA[[#This Row],[Unit Price]]</f>
        <v>28.346456692913385</v>
      </c>
      <c r="J28" t="s">
        <v>235</v>
      </c>
      <c r="K28" t="s">
        <v>235</v>
      </c>
      <c r="L28" t="s">
        <v>268</v>
      </c>
      <c r="M28" t="s">
        <v>235</v>
      </c>
      <c r="N28" t="s">
        <v>235</v>
      </c>
      <c r="O28" t="s">
        <v>235</v>
      </c>
      <c r="P28" t="s">
        <v>247</v>
      </c>
    </row>
    <row r="29" spans="1:16" x14ac:dyDescent="0.35">
      <c r="A29" t="s">
        <v>376</v>
      </c>
      <c r="B29" t="s">
        <v>245</v>
      </c>
      <c r="C29" t="s">
        <v>245</v>
      </c>
      <c r="D29" t="s">
        <v>378</v>
      </c>
      <c r="E29" t="s">
        <v>210</v>
      </c>
      <c r="F29" t="s">
        <v>20</v>
      </c>
      <c r="G29">
        <v>1</v>
      </c>
      <c r="H29" s="5">
        <v>23.12</v>
      </c>
      <c r="I29" s="30">
        <f>SRA[[#This Row],[Unit Price]]*SRA[[#This Row],[Quantity]]</f>
        <v>23.12</v>
      </c>
      <c r="J29" t="s">
        <v>235</v>
      </c>
      <c r="K29" t="s">
        <v>235</v>
      </c>
      <c r="L29" t="s">
        <v>379</v>
      </c>
      <c r="M29" t="s">
        <v>235</v>
      </c>
      <c r="N29" t="s">
        <v>235</v>
      </c>
      <c r="O29" t="s">
        <v>235</v>
      </c>
    </row>
    <row r="30" spans="1:16" x14ac:dyDescent="0.35">
      <c r="A30" t="s">
        <v>254</v>
      </c>
      <c r="B30" t="s">
        <v>253</v>
      </c>
      <c r="C30" t="s">
        <v>264</v>
      </c>
      <c r="D30" t="s">
        <v>381</v>
      </c>
      <c r="E30" t="s">
        <v>255</v>
      </c>
      <c r="F30" t="s">
        <v>20</v>
      </c>
      <c r="G30">
        <v>10</v>
      </c>
      <c r="H30">
        <f>22.64*0.007</f>
        <v>0.15848000000000001</v>
      </c>
      <c r="I30">
        <f>SRA[[#This Row],[Unit Price]]*SRA[[#This Row],[Quantity]]</f>
        <v>1.5848</v>
      </c>
      <c r="J30" t="s">
        <v>235</v>
      </c>
      <c r="K30" t="s">
        <v>235</v>
      </c>
      <c r="L30" t="s">
        <v>382</v>
      </c>
      <c r="M30" t="s">
        <v>235</v>
      </c>
      <c r="N30" t="s">
        <v>235</v>
      </c>
      <c r="O30" t="s">
        <v>235</v>
      </c>
      <c r="P30" t="s">
        <v>258</v>
      </c>
    </row>
    <row r="31" spans="1:16" x14ac:dyDescent="0.35">
      <c r="A31" t="s">
        <v>254</v>
      </c>
      <c r="B31" t="s">
        <v>253</v>
      </c>
      <c r="C31" t="s">
        <v>264</v>
      </c>
      <c r="D31" t="s">
        <v>383</v>
      </c>
      <c r="E31" t="s">
        <v>255</v>
      </c>
      <c r="F31" t="s">
        <v>20</v>
      </c>
      <c r="G31">
        <v>1</v>
      </c>
      <c r="H31">
        <f>22.64*0.083</f>
        <v>1.8791200000000001</v>
      </c>
      <c r="I31">
        <f>SRA[[#This Row],[Unit Price]]*SRA[[#This Row],[Quantity]]</f>
        <v>1.8791200000000001</v>
      </c>
      <c r="J31" t="s">
        <v>235</v>
      </c>
      <c r="K31" t="s">
        <v>235</v>
      </c>
      <c r="L31" t="s">
        <v>384</v>
      </c>
      <c r="M31" t="s">
        <v>235</v>
      </c>
      <c r="N31" t="s">
        <v>235</v>
      </c>
      <c r="O31" t="s">
        <v>235</v>
      </c>
      <c r="P31" t="s">
        <v>258</v>
      </c>
    </row>
    <row r="32" spans="1:16" x14ac:dyDescent="0.35">
      <c r="A32" t="s">
        <v>385</v>
      </c>
      <c r="B32" t="s">
        <v>386</v>
      </c>
      <c r="C32" t="s">
        <v>386</v>
      </c>
      <c r="D32" t="s">
        <v>387</v>
      </c>
      <c r="E32" t="s">
        <v>255</v>
      </c>
      <c r="F32" t="s">
        <v>20</v>
      </c>
      <c r="G32">
        <v>6</v>
      </c>
      <c r="H32">
        <v>5.4</v>
      </c>
      <c r="I32" s="30">
        <f>SRA[[#This Row],[Unit Price]]*SRA[[#This Row],[Quantity]]</f>
        <v>32.400000000000006</v>
      </c>
      <c r="J32" t="s">
        <v>235</v>
      </c>
      <c r="K32" t="s">
        <v>235</v>
      </c>
      <c r="L32" t="s">
        <v>388</v>
      </c>
      <c r="M32" t="s">
        <v>235</v>
      </c>
      <c r="N32" t="s">
        <v>235</v>
      </c>
      <c r="O32" t="s">
        <v>235</v>
      </c>
      <c r="P32" t="s">
        <v>389</v>
      </c>
    </row>
    <row r="33" spans="1:16" x14ac:dyDescent="0.35">
      <c r="A33" t="s">
        <v>390</v>
      </c>
      <c r="B33" t="s">
        <v>386</v>
      </c>
      <c r="C33" t="s">
        <v>386</v>
      </c>
      <c r="D33" t="s">
        <v>394</v>
      </c>
      <c r="E33" t="s">
        <v>255</v>
      </c>
      <c r="F33" t="s">
        <v>20</v>
      </c>
      <c r="G33">
        <v>1</v>
      </c>
      <c r="H33">
        <v>13.5</v>
      </c>
      <c r="I33" s="30">
        <f>SRA[[#This Row],[Unit Price]]*SRA[[#This Row],[Quantity]]</f>
        <v>13.5</v>
      </c>
      <c r="J33" t="s">
        <v>235</v>
      </c>
      <c r="K33" t="s">
        <v>235</v>
      </c>
      <c r="L33" t="s">
        <v>395</v>
      </c>
      <c r="M33" t="s">
        <v>235</v>
      </c>
      <c r="N33" t="s">
        <v>235</v>
      </c>
      <c r="O33" t="s">
        <v>235</v>
      </c>
    </row>
    <row r="34" spans="1:16" x14ac:dyDescent="0.35">
      <c r="A34" t="s">
        <v>396</v>
      </c>
      <c r="B34" t="s">
        <v>397</v>
      </c>
      <c r="C34" t="s">
        <v>264</v>
      </c>
      <c r="D34" t="s">
        <v>398</v>
      </c>
      <c r="E34" t="s">
        <v>255</v>
      </c>
      <c r="F34" t="s">
        <v>20</v>
      </c>
      <c r="G34">
        <v>2000</v>
      </c>
      <c r="H34" s="5">
        <v>3.9630000000000004E-3</v>
      </c>
      <c r="I34" s="30">
        <f>SRA[[#This Row],[Quantity]]*SRA[[#This Row],[Unit Price]]</f>
        <v>7.926000000000001</v>
      </c>
      <c r="J34" t="s">
        <v>235</v>
      </c>
      <c r="K34" t="s">
        <v>235</v>
      </c>
      <c r="L34" t="s">
        <v>399</v>
      </c>
      <c r="M34" t="s">
        <v>235</v>
      </c>
      <c r="N34" t="s">
        <v>235</v>
      </c>
      <c r="O34" t="s">
        <v>235</v>
      </c>
      <c r="P34" t="s">
        <v>400</v>
      </c>
    </row>
    <row r="35" spans="1:16" x14ac:dyDescent="0.35">
      <c r="H35" s="5"/>
      <c r="I35" s="30"/>
    </row>
    <row r="36" spans="1:16" ht="28.5" x14ac:dyDescent="0.65">
      <c r="A36" s="49" t="s">
        <v>205</v>
      </c>
      <c r="B36" s="49"/>
      <c r="C36" s="49"/>
      <c r="D36" s="49"/>
      <c r="E36" s="49"/>
      <c r="F36" s="49"/>
      <c r="G36" s="49"/>
      <c r="H36" s="49"/>
      <c r="I36" s="5">
        <f>SUM(SRA[Extended Price])</f>
        <v>286.27221958812839</v>
      </c>
    </row>
    <row r="38" spans="1:16" ht="36" x14ac:dyDescent="0.8">
      <c r="A38" s="56" t="s">
        <v>281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spans="1:16" x14ac:dyDescent="0.35">
      <c r="A39" s="23" t="s">
        <v>0</v>
      </c>
      <c r="B39" s="24" t="s">
        <v>1</v>
      </c>
      <c r="C39" s="24" t="s">
        <v>263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5" t="s">
        <v>8</v>
      </c>
      <c r="J39" s="24" t="s">
        <v>9</v>
      </c>
      <c r="K39" s="24" t="s">
        <v>10</v>
      </c>
      <c r="L39" s="24" t="s">
        <v>11</v>
      </c>
      <c r="M39" s="24" t="s">
        <v>12</v>
      </c>
      <c r="N39" s="24" t="s">
        <v>13</v>
      </c>
      <c r="O39" s="26" t="s">
        <v>14</v>
      </c>
      <c r="P39" s="26" t="s">
        <v>238</v>
      </c>
    </row>
    <row r="40" spans="1:16" x14ac:dyDescent="0.35">
      <c r="A40" t="s">
        <v>235</v>
      </c>
      <c r="B40" t="s">
        <v>235</v>
      </c>
      <c r="C40" t="s">
        <v>265</v>
      </c>
      <c r="D40" t="s">
        <v>237</v>
      </c>
      <c r="G40">
        <v>2</v>
      </c>
      <c r="H40" s="5">
        <v>4.2699999999999996</v>
      </c>
      <c r="I40" s="33">
        <f>TCA[[#This Row],[Quantity]]*TCA[[#This Row],[Unit Price]]</f>
        <v>8.5399999999999991</v>
      </c>
      <c r="J40" t="s">
        <v>235</v>
      </c>
      <c r="K40" t="s">
        <v>235</v>
      </c>
      <c r="L40" t="s">
        <v>259</v>
      </c>
      <c r="M40" t="s">
        <v>235</v>
      </c>
      <c r="N40" t="s">
        <v>235</v>
      </c>
      <c r="O40" t="s">
        <v>235</v>
      </c>
      <c r="P40" t="s">
        <v>260</v>
      </c>
    </row>
    <row r="41" spans="1:16" x14ac:dyDescent="0.35">
      <c r="A41" s="31" t="s">
        <v>282</v>
      </c>
      <c r="B41" s="31" t="s">
        <v>245</v>
      </c>
      <c r="C41" s="31" t="s">
        <v>264</v>
      </c>
      <c r="D41" s="31" t="s">
        <v>283</v>
      </c>
      <c r="E41" s="31" t="s">
        <v>210</v>
      </c>
      <c r="F41" s="31" t="s">
        <v>20</v>
      </c>
      <c r="G41" s="31">
        <v>300</v>
      </c>
      <c r="H41" s="32">
        <f t="shared" ref="H41" si="0">0.16/25.4</f>
        <v>6.2992125984251976E-3</v>
      </c>
      <c r="I41" s="33">
        <f>TCA[[#This Row],[Quantity]]*TCA[[#This Row],[Unit Price]]</f>
        <v>1.8897637795275593</v>
      </c>
      <c r="J41" t="s">
        <v>235</v>
      </c>
      <c r="K41" t="s">
        <v>235</v>
      </c>
      <c r="L41" t="s">
        <v>284</v>
      </c>
      <c r="M41" t="s">
        <v>235</v>
      </c>
      <c r="N41" t="s">
        <v>235</v>
      </c>
      <c r="O41" t="s">
        <v>235</v>
      </c>
      <c r="P41" t="s">
        <v>247</v>
      </c>
    </row>
    <row r="42" spans="1:16" x14ac:dyDescent="0.35">
      <c r="A42" t="s">
        <v>286</v>
      </c>
      <c r="B42" s="31" t="s">
        <v>266</v>
      </c>
      <c r="C42" s="31" t="s">
        <v>266</v>
      </c>
      <c r="D42" s="31" t="s">
        <v>285</v>
      </c>
      <c r="E42" s="31" t="s">
        <v>210</v>
      </c>
      <c r="F42" s="31" t="s">
        <v>20</v>
      </c>
      <c r="G42" s="31">
        <v>1</v>
      </c>
      <c r="H42" s="34">
        <v>7.05</v>
      </c>
      <c r="I42" s="34">
        <f>TCA[[#This Row],[Quantity]]*TCA[[#This Row],[Unit Price]]</f>
        <v>7.05</v>
      </c>
      <c r="J42" s="31">
        <v>182</v>
      </c>
      <c r="K42" s="31" t="s">
        <v>235</v>
      </c>
      <c r="L42" t="s">
        <v>287</v>
      </c>
      <c r="M42" t="s">
        <v>235</v>
      </c>
      <c r="N42" t="s">
        <v>235</v>
      </c>
      <c r="O42" t="s">
        <v>235</v>
      </c>
      <c r="P42" s="31"/>
    </row>
    <row r="43" spans="1:16" x14ac:dyDescent="0.35">
      <c r="A43" t="s">
        <v>290</v>
      </c>
      <c r="B43" s="31" t="s">
        <v>266</v>
      </c>
      <c r="C43" s="31" t="s">
        <v>266</v>
      </c>
      <c r="D43" s="31" t="s">
        <v>289</v>
      </c>
      <c r="E43" s="31" t="s">
        <v>210</v>
      </c>
      <c r="F43" s="31" t="s">
        <v>20</v>
      </c>
      <c r="G43" s="31">
        <v>1</v>
      </c>
      <c r="H43" s="34">
        <v>1.47</v>
      </c>
      <c r="I43" s="33">
        <f>TCA[[#This Row],[Quantity]]*TCA[[#This Row],[Unit Price]]</f>
        <v>1.47</v>
      </c>
      <c r="J43">
        <v>49816</v>
      </c>
      <c r="K43" t="s">
        <v>235</v>
      </c>
      <c r="L43" t="s">
        <v>288</v>
      </c>
      <c r="M43" t="s">
        <v>235</v>
      </c>
      <c r="N43" t="s">
        <v>235</v>
      </c>
      <c r="O43" t="s">
        <v>235</v>
      </c>
    </row>
    <row r="44" spans="1:16" x14ac:dyDescent="0.35">
      <c r="A44" t="s">
        <v>295</v>
      </c>
      <c r="B44" s="31" t="s">
        <v>292</v>
      </c>
      <c r="C44" s="31" t="s">
        <v>264</v>
      </c>
      <c r="D44" s="31" t="s">
        <v>291</v>
      </c>
      <c r="E44" s="31" t="s">
        <v>210</v>
      </c>
      <c r="F44" s="31" t="s">
        <v>20</v>
      </c>
      <c r="G44" s="31">
        <v>1</v>
      </c>
      <c r="H44" s="34">
        <f>11.88/5</f>
        <v>2.3760000000000003</v>
      </c>
      <c r="I44" s="33">
        <f>TCA[[#This Row],[Quantity]]*TCA[[#This Row],[Unit Price]]</f>
        <v>2.3760000000000003</v>
      </c>
      <c r="J44" s="31" t="s">
        <v>235</v>
      </c>
      <c r="K44" t="s">
        <v>235</v>
      </c>
      <c r="L44" s="31" t="s">
        <v>294</v>
      </c>
      <c r="M44" t="s">
        <v>235</v>
      </c>
      <c r="N44" t="s">
        <v>235</v>
      </c>
      <c r="O44" t="s">
        <v>235</v>
      </c>
      <c r="P44" s="31" t="s">
        <v>293</v>
      </c>
    </row>
    <row r="45" spans="1:16" x14ac:dyDescent="0.35">
      <c r="A45" s="31" t="s">
        <v>254</v>
      </c>
      <c r="B45" s="31" t="s">
        <v>253</v>
      </c>
      <c r="C45" s="31" t="s">
        <v>264</v>
      </c>
      <c r="D45" s="31" t="s">
        <v>296</v>
      </c>
      <c r="E45" s="31" t="s">
        <v>255</v>
      </c>
      <c r="F45" s="31" t="s">
        <v>20</v>
      </c>
      <c r="G45" s="31">
        <v>2</v>
      </c>
      <c r="H45" s="34">
        <f>22.64*0.002</f>
        <v>4.5280000000000001E-2</v>
      </c>
      <c r="I45" s="33">
        <f>TCA[[#This Row],[Quantity]]*TCA[[#This Row],[Unit Price]]</f>
        <v>9.0560000000000002E-2</v>
      </c>
      <c r="J45" t="s">
        <v>235</v>
      </c>
      <c r="K45" t="s">
        <v>235</v>
      </c>
      <c r="L45" t="s">
        <v>297</v>
      </c>
      <c r="M45" t="s">
        <v>235</v>
      </c>
      <c r="N45" t="s">
        <v>235</v>
      </c>
      <c r="O45" t="s">
        <v>235</v>
      </c>
      <c r="P45" t="s">
        <v>258</v>
      </c>
    </row>
    <row r="46" spans="1:16" x14ac:dyDescent="0.35">
      <c r="A46" t="s">
        <v>300</v>
      </c>
      <c r="B46" s="31" t="s">
        <v>299</v>
      </c>
      <c r="C46" s="31" t="s">
        <v>264</v>
      </c>
      <c r="D46" s="31" t="s">
        <v>298</v>
      </c>
      <c r="E46" s="31" t="s">
        <v>241</v>
      </c>
      <c r="F46" s="31" t="s">
        <v>20</v>
      </c>
      <c r="G46" s="31">
        <v>2</v>
      </c>
      <c r="H46" s="34">
        <f>9.99/20</f>
        <v>0.4995</v>
      </c>
      <c r="I46" s="33">
        <f>TCA[[#This Row],[Quantity]]*TCA[[#This Row],[Unit Price]]</f>
        <v>0.999</v>
      </c>
      <c r="J46" s="31" t="s">
        <v>235</v>
      </c>
      <c r="K46" s="31" t="s">
        <v>235</v>
      </c>
      <c r="L46" s="31" t="s">
        <v>301</v>
      </c>
      <c r="M46" t="s">
        <v>235</v>
      </c>
      <c r="N46" t="s">
        <v>235</v>
      </c>
      <c r="O46" t="s">
        <v>235</v>
      </c>
      <c r="P46" s="31" t="s">
        <v>302</v>
      </c>
    </row>
    <row r="47" spans="1:16" ht="27.75" customHeight="1" x14ac:dyDescent="0.35">
      <c r="A47" s="31" t="s">
        <v>254</v>
      </c>
      <c r="B47" s="31" t="s">
        <v>253</v>
      </c>
      <c r="C47" s="31" t="s">
        <v>264</v>
      </c>
      <c r="D47" s="31" t="s">
        <v>304</v>
      </c>
      <c r="E47" s="31" t="s">
        <v>255</v>
      </c>
      <c r="F47" s="31" t="s">
        <v>20</v>
      </c>
      <c r="G47" s="31">
        <v>4</v>
      </c>
      <c r="H47" s="34">
        <f>22.64*0.001</f>
        <v>2.264E-2</v>
      </c>
      <c r="I47" s="33">
        <f>TCA[[#This Row],[Quantity]]*TCA[[#This Row],[Unit Price]]</f>
        <v>9.0560000000000002E-2</v>
      </c>
      <c r="J47" t="s">
        <v>235</v>
      </c>
      <c r="K47" t="s">
        <v>235</v>
      </c>
      <c r="L47" t="s">
        <v>303</v>
      </c>
      <c r="M47" t="s">
        <v>235</v>
      </c>
      <c r="N47" t="s">
        <v>235</v>
      </c>
      <c r="O47" t="s">
        <v>235</v>
      </c>
      <c r="P47" t="s">
        <v>258</v>
      </c>
    </row>
    <row r="48" spans="1:16" x14ac:dyDescent="0.35">
      <c r="A48" s="31"/>
      <c r="B48" t="s">
        <v>305</v>
      </c>
      <c r="C48" s="31" t="s">
        <v>264</v>
      </c>
      <c r="D48" s="31" t="s">
        <v>307</v>
      </c>
      <c r="E48" s="31" t="s">
        <v>210</v>
      </c>
      <c r="F48" s="31" t="s">
        <v>20</v>
      </c>
      <c r="G48" s="31">
        <v>2</v>
      </c>
      <c r="H48" s="34">
        <f>10.98/100</f>
        <v>0.10980000000000001</v>
      </c>
      <c r="I48" s="33">
        <f>TCA[[#This Row],[Quantity]]*TCA[[#This Row],[Unit Price]]</f>
        <v>0.21960000000000002</v>
      </c>
      <c r="J48" t="s">
        <v>235</v>
      </c>
      <c r="K48" t="s">
        <v>235</v>
      </c>
      <c r="L48" t="s">
        <v>306</v>
      </c>
      <c r="M48" t="s">
        <v>235</v>
      </c>
      <c r="N48" t="s">
        <v>235</v>
      </c>
      <c r="O48" t="s">
        <v>235</v>
      </c>
      <c r="P48" t="s">
        <v>243</v>
      </c>
    </row>
    <row r="49" spans="1:16" x14ac:dyDescent="0.35">
      <c r="A49" s="31" t="s">
        <v>251</v>
      </c>
      <c r="B49" s="31" t="s">
        <v>252</v>
      </c>
      <c r="C49" s="31" t="s">
        <v>264</v>
      </c>
      <c r="D49" s="31" t="s">
        <v>240</v>
      </c>
      <c r="E49" s="31" t="s">
        <v>241</v>
      </c>
      <c r="F49" s="31" t="s">
        <v>20</v>
      </c>
      <c r="G49" s="31">
        <v>2</v>
      </c>
      <c r="H49" s="34">
        <v>0.1668</v>
      </c>
      <c r="I49" s="33">
        <f>TCA[[#This Row],[Quantity]]*TCA[[#This Row],[Unit Price]]</f>
        <v>0.33360000000000001</v>
      </c>
      <c r="J49" t="s">
        <v>235</v>
      </c>
      <c r="K49" t="s">
        <v>235</v>
      </c>
      <c r="L49" t="s">
        <v>242</v>
      </c>
      <c r="M49" t="s">
        <v>235</v>
      </c>
      <c r="N49" t="s">
        <v>235</v>
      </c>
      <c r="O49" t="s">
        <v>235</v>
      </c>
      <c r="P49" t="s">
        <v>243</v>
      </c>
    </row>
    <row r="50" spans="1:16" x14ac:dyDescent="0.35">
      <c r="A50" s="31"/>
      <c r="B50" s="31" t="s">
        <v>250</v>
      </c>
      <c r="C50" s="31" t="s">
        <v>264</v>
      </c>
      <c r="D50" s="31" t="s">
        <v>276</v>
      </c>
      <c r="E50" s="31" t="s">
        <v>241</v>
      </c>
      <c r="F50" s="31" t="s">
        <v>20</v>
      </c>
      <c r="G50" s="31">
        <v>2</v>
      </c>
      <c r="H50" s="34">
        <v>9.4899999999999998E-2</v>
      </c>
      <c r="I50" s="33">
        <f>TCA[[#This Row],[Quantity]]*TCA[[#This Row],[Unit Price]]</f>
        <v>0.1898</v>
      </c>
      <c r="J50" t="s">
        <v>235</v>
      </c>
      <c r="K50" t="s">
        <v>235</v>
      </c>
      <c r="L50" t="s">
        <v>249</v>
      </c>
      <c r="M50" t="s">
        <v>235</v>
      </c>
      <c r="N50" t="s">
        <v>235</v>
      </c>
      <c r="O50" t="s">
        <v>235</v>
      </c>
      <c r="P50" t="s">
        <v>243</v>
      </c>
    </row>
    <row r="51" spans="1:16" x14ac:dyDescent="0.35">
      <c r="A51" t="s">
        <v>309</v>
      </c>
      <c r="B51" s="31" t="s">
        <v>308</v>
      </c>
      <c r="C51" s="31" t="s">
        <v>264</v>
      </c>
      <c r="D51" s="31" t="s">
        <v>278</v>
      </c>
      <c r="E51" s="31" t="s">
        <v>255</v>
      </c>
      <c r="F51" s="31" t="s">
        <v>20</v>
      </c>
      <c r="G51" s="31">
        <f>ROUND(Overall!L7*1000*1.15,1)</f>
        <v>2300</v>
      </c>
      <c r="H51" s="34">
        <f>10.99/5000</f>
        <v>2.1979999999999999E-3</v>
      </c>
      <c r="I51" s="33">
        <f>TCA[[#This Row],[Quantity]]*TCA[[#This Row],[Unit Price]]</f>
        <v>5.0553999999999997</v>
      </c>
      <c r="J51" t="s">
        <v>235</v>
      </c>
      <c r="K51" t="s">
        <v>235</v>
      </c>
      <c r="L51" t="s">
        <v>279</v>
      </c>
      <c r="M51" t="s">
        <v>235</v>
      </c>
      <c r="N51" t="s">
        <v>235</v>
      </c>
      <c r="O51" t="s">
        <v>235</v>
      </c>
      <c r="P51" t="s">
        <v>280</v>
      </c>
    </row>
    <row r="52" spans="1:16" x14ac:dyDescent="0.35">
      <c r="A52" s="31" t="s">
        <v>244</v>
      </c>
      <c r="B52" s="31" t="s">
        <v>245</v>
      </c>
      <c r="C52" s="31" t="s">
        <v>245</v>
      </c>
      <c r="D52" s="31" t="s">
        <v>330</v>
      </c>
      <c r="E52" s="31" t="s">
        <v>210</v>
      </c>
      <c r="F52" s="31" t="s">
        <v>20</v>
      </c>
      <c r="G52" s="31">
        <f>Overall!L7*1000</f>
        <v>2000</v>
      </c>
      <c r="H52" s="34">
        <f>0.28/25.4</f>
        <v>1.1023622047244096E-2</v>
      </c>
      <c r="I52" s="33">
        <f>TCA[[#This Row],[Quantity]]*TCA[[#This Row],[Unit Price]]</f>
        <v>22.047244094488192</v>
      </c>
      <c r="J52" t="s">
        <v>235</v>
      </c>
      <c r="K52" t="s">
        <v>235</v>
      </c>
      <c r="L52" t="s">
        <v>315</v>
      </c>
      <c r="M52" t="s">
        <v>235</v>
      </c>
      <c r="N52" t="s">
        <v>235</v>
      </c>
      <c r="O52" t="s">
        <v>235</v>
      </c>
      <c r="P52" t="s">
        <v>247</v>
      </c>
    </row>
    <row r="53" spans="1:16" ht="28.5" x14ac:dyDescent="0.65">
      <c r="A53" s="49" t="s">
        <v>205</v>
      </c>
      <c r="B53" s="49"/>
      <c r="C53" s="49"/>
      <c r="D53" s="49"/>
      <c r="E53" s="49"/>
      <c r="F53" s="49"/>
      <c r="G53" s="49"/>
      <c r="H53" s="49"/>
      <c r="I53" s="5">
        <f>SUM(TCA[Extended Price])</f>
        <v>50.351527874015751</v>
      </c>
    </row>
    <row r="55" spans="1:16" ht="36" x14ac:dyDescent="0.8">
      <c r="A55" s="53" t="s">
        <v>316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6" x14ac:dyDescent="0.35">
      <c r="A56" s="23" t="s">
        <v>0</v>
      </c>
      <c r="B56" s="24" t="s">
        <v>1</v>
      </c>
      <c r="C56" s="24" t="s">
        <v>263</v>
      </c>
      <c r="D56" s="24" t="s">
        <v>3</v>
      </c>
      <c r="E56" s="24" t="s">
        <v>4</v>
      </c>
      <c r="F56" s="24" t="s">
        <v>5</v>
      </c>
      <c r="G56" s="24" t="s">
        <v>6</v>
      </c>
      <c r="H56" s="24" t="s">
        <v>7</v>
      </c>
      <c r="I56" s="25" t="s">
        <v>8</v>
      </c>
      <c r="J56" s="24" t="s">
        <v>9</v>
      </c>
      <c r="K56" s="24" t="s">
        <v>10</v>
      </c>
      <c r="L56" s="24" t="s">
        <v>11</v>
      </c>
      <c r="M56" s="24" t="s">
        <v>12</v>
      </c>
      <c r="N56" s="24" t="s">
        <v>13</v>
      </c>
      <c r="O56" s="26" t="s">
        <v>14</v>
      </c>
      <c r="P56" s="26" t="s">
        <v>238</v>
      </c>
    </row>
    <row r="57" spans="1:16" x14ac:dyDescent="0.35">
      <c r="A57" s="31" t="s">
        <v>254</v>
      </c>
      <c r="B57" s="31" t="s">
        <v>253</v>
      </c>
      <c r="C57" s="31" t="s">
        <v>264</v>
      </c>
      <c r="D57" s="31" t="s">
        <v>323</v>
      </c>
      <c r="E57" s="31" t="s">
        <v>255</v>
      </c>
      <c r="F57" s="31" t="s">
        <v>20</v>
      </c>
      <c r="G57" s="31">
        <v>4</v>
      </c>
      <c r="H57" s="34">
        <f>22.64*0.044</f>
        <v>0.99615999999999993</v>
      </c>
      <c r="I57" s="5">
        <f>MMM[[#This Row],[Unit Price]]*MMM[[#This Row],[Quantity]]</f>
        <v>3.9846399999999997</v>
      </c>
      <c r="J57" t="s">
        <v>235</v>
      </c>
      <c r="K57" t="s">
        <v>235</v>
      </c>
      <c r="L57" t="s">
        <v>317</v>
      </c>
      <c r="M57" t="s">
        <v>235</v>
      </c>
      <c r="N57" t="s">
        <v>235</v>
      </c>
      <c r="O57" t="s">
        <v>235</v>
      </c>
      <c r="P57" t="s">
        <v>258</v>
      </c>
    </row>
    <row r="58" spans="1:16" ht="27.75" customHeight="1" x14ac:dyDescent="0.35">
      <c r="A58" s="31" t="s">
        <v>254</v>
      </c>
      <c r="B58" s="31" t="s">
        <v>253</v>
      </c>
      <c r="C58" s="31" t="s">
        <v>264</v>
      </c>
      <c r="D58" s="31" t="s">
        <v>318</v>
      </c>
      <c r="E58" s="31" t="s">
        <v>255</v>
      </c>
      <c r="F58" s="31" t="s">
        <v>20</v>
      </c>
      <c r="G58" s="31">
        <v>6</v>
      </c>
      <c r="H58" s="34">
        <f>22.64*0.005</f>
        <v>0.11320000000000001</v>
      </c>
      <c r="I58" s="5">
        <f>MMM[[#This Row],[Unit Price]]*MMM[[#This Row],[Quantity]]</f>
        <v>0.67920000000000003</v>
      </c>
      <c r="J58" t="s">
        <v>235</v>
      </c>
      <c r="K58" t="s">
        <v>235</v>
      </c>
      <c r="L58" t="s">
        <v>319</v>
      </c>
      <c r="M58" t="s">
        <v>235</v>
      </c>
      <c r="N58" t="s">
        <v>235</v>
      </c>
      <c r="O58" t="s">
        <v>235</v>
      </c>
      <c r="P58" t="s">
        <v>258</v>
      </c>
    </row>
    <row r="59" spans="1:16" x14ac:dyDescent="0.35">
      <c r="A59" s="31" t="s">
        <v>282</v>
      </c>
      <c r="B59" s="31" t="s">
        <v>245</v>
      </c>
      <c r="C59" s="31" t="s">
        <v>264</v>
      </c>
      <c r="D59" s="31" t="s">
        <v>283</v>
      </c>
      <c r="E59" s="31" t="s">
        <v>210</v>
      </c>
      <c r="F59" s="31" t="s">
        <v>20</v>
      </c>
      <c r="G59" s="31">
        <f>Overall!L7*1000*2</f>
        <v>4000</v>
      </c>
      <c r="H59" s="34">
        <f t="shared" ref="H59" si="1">0.16/25.4</f>
        <v>6.2992125984251976E-3</v>
      </c>
      <c r="I59" s="5">
        <f>MMM[[#This Row],[Unit Price]]*MMM[[#This Row],[Quantity]]</f>
        <v>25.196850393700789</v>
      </c>
      <c r="J59" t="s">
        <v>235</v>
      </c>
      <c r="K59" t="s">
        <v>235</v>
      </c>
      <c r="L59" t="s">
        <v>320</v>
      </c>
      <c r="M59" t="s">
        <v>235</v>
      </c>
      <c r="N59" t="s">
        <v>235</v>
      </c>
      <c r="O59" t="s">
        <v>235</v>
      </c>
      <c r="P59" t="s">
        <v>247</v>
      </c>
    </row>
    <row r="60" spans="1:16" x14ac:dyDescent="0.35">
      <c r="A60" s="31" t="s">
        <v>254</v>
      </c>
      <c r="B60" s="31" t="s">
        <v>253</v>
      </c>
      <c r="C60" s="31" t="s">
        <v>264</v>
      </c>
      <c r="D60" s="31" t="s">
        <v>322</v>
      </c>
      <c r="E60" s="31" t="s">
        <v>255</v>
      </c>
      <c r="F60" s="31" t="s">
        <v>20</v>
      </c>
      <c r="G60" s="31">
        <v>4</v>
      </c>
      <c r="H60" s="34">
        <f>22.64*0.015</f>
        <v>0.33960000000000001</v>
      </c>
      <c r="I60" s="5">
        <f>MMM[[#This Row],[Unit Price]]*MMM[[#This Row],[Quantity]]</f>
        <v>1.3584000000000001</v>
      </c>
      <c r="J60" t="s">
        <v>235</v>
      </c>
      <c r="K60" t="s">
        <v>235</v>
      </c>
      <c r="L60" t="s">
        <v>321</v>
      </c>
      <c r="M60" t="s">
        <v>235</v>
      </c>
      <c r="N60" t="s">
        <v>235</v>
      </c>
      <c r="O60" t="s">
        <v>235</v>
      </c>
      <c r="P60" t="s">
        <v>258</v>
      </c>
    </row>
    <row r="61" spans="1:16" x14ac:dyDescent="0.35">
      <c r="A61" t="s">
        <v>254</v>
      </c>
      <c r="B61" t="s">
        <v>253</v>
      </c>
      <c r="C61" t="s">
        <v>264</v>
      </c>
      <c r="D61" t="s">
        <v>272</v>
      </c>
      <c r="E61" t="s">
        <v>255</v>
      </c>
      <c r="F61" t="s">
        <v>20</v>
      </c>
      <c r="G61">
        <v>2</v>
      </c>
      <c r="H61" s="5">
        <f>22.64*0.029</f>
        <v>0.65656000000000003</v>
      </c>
      <c r="I61" s="5">
        <f>H61*G61</f>
        <v>1.3131200000000001</v>
      </c>
      <c r="J61" t="s">
        <v>235</v>
      </c>
      <c r="K61" t="s">
        <v>235</v>
      </c>
      <c r="L61" t="s">
        <v>273</v>
      </c>
      <c r="M61" t="s">
        <v>235</v>
      </c>
      <c r="N61" t="s">
        <v>235</v>
      </c>
      <c r="O61" t="s">
        <v>235</v>
      </c>
      <c r="P61" t="s">
        <v>258</v>
      </c>
    </row>
    <row r="62" spans="1:16" x14ac:dyDescent="0.35">
      <c r="A62" s="28" t="s">
        <v>251</v>
      </c>
      <c r="B62" s="27" t="s">
        <v>252</v>
      </c>
      <c r="C62" s="27" t="s">
        <v>264</v>
      </c>
      <c r="D62" s="27" t="s">
        <v>240</v>
      </c>
      <c r="E62" s="27" t="s">
        <v>241</v>
      </c>
      <c r="F62" s="27" t="s">
        <v>20</v>
      </c>
      <c r="G62" s="27">
        <v>28</v>
      </c>
      <c r="H62" s="27">
        <f>(16.68/100)</f>
        <v>0.1668</v>
      </c>
      <c r="I62" s="5">
        <f>H62*G62</f>
        <v>4.6703999999999999</v>
      </c>
      <c r="J62" s="27" t="s">
        <v>235</v>
      </c>
      <c r="K62" s="27" t="s">
        <v>235</v>
      </c>
      <c r="L62" s="27" t="s">
        <v>242</v>
      </c>
      <c r="M62" s="27" t="s">
        <v>235</v>
      </c>
      <c r="N62" s="27" t="s">
        <v>235</v>
      </c>
      <c r="O62" s="27" t="s">
        <v>235</v>
      </c>
      <c r="P62" s="29" t="s">
        <v>243</v>
      </c>
    </row>
    <row r="63" spans="1:16" x14ac:dyDescent="0.35">
      <c r="A63" s="28"/>
      <c r="B63" s="27" t="s">
        <v>250</v>
      </c>
      <c r="C63" s="27" t="s">
        <v>264</v>
      </c>
      <c r="D63" s="27" t="s">
        <v>276</v>
      </c>
      <c r="E63" s="27" t="s">
        <v>241</v>
      </c>
      <c r="F63" s="27" t="s">
        <v>20</v>
      </c>
      <c r="G63" s="27">
        <v>28</v>
      </c>
      <c r="H63" s="27">
        <f>9.49/100</f>
        <v>9.4899999999999998E-2</v>
      </c>
      <c r="I63" s="5">
        <f>H63*G63</f>
        <v>2.6572</v>
      </c>
      <c r="J63" s="27" t="s">
        <v>235</v>
      </c>
      <c r="K63" s="27" t="s">
        <v>235</v>
      </c>
      <c r="L63" s="27" t="s">
        <v>249</v>
      </c>
      <c r="M63" s="27" t="s">
        <v>235</v>
      </c>
      <c r="N63" s="27" t="s">
        <v>235</v>
      </c>
      <c r="O63" s="27" t="s">
        <v>235</v>
      </c>
      <c r="P63" s="29" t="s">
        <v>243</v>
      </c>
    </row>
    <row r="64" spans="1:16" ht="28.5" x14ac:dyDescent="0.65">
      <c r="A64" s="49" t="s">
        <v>205</v>
      </c>
      <c r="B64" s="49"/>
      <c r="C64" s="49"/>
      <c r="D64" s="49"/>
      <c r="E64" s="49"/>
      <c r="F64" s="49"/>
      <c r="G64" s="49"/>
      <c r="H64" s="49"/>
      <c r="I64" s="5">
        <f>SUM(MMM[Extended Price])</f>
        <v>31.219090393700789</v>
      </c>
    </row>
    <row r="66" spans="1:16" ht="36" x14ac:dyDescent="0.8">
      <c r="A66" s="54" t="s">
        <v>328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</row>
    <row r="67" spans="1:16" x14ac:dyDescent="0.35">
      <c r="A67" s="23" t="s">
        <v>0</v>
      </c>
      <c r="B67" s="24" t="s">
        <v>1</v>
      </c>
      <c r="C67" s="24" t="s">
        <v>263</v>
      </c>
      <c r="D67" s="24" t="s">
        <v>3</v>
      </c>
      <c r="E67" s="24" t="s">
        <v>4</v>
      </c>
      <c r="F67" s="24" t="s">
        <v>5</v>
      </c>
      <c r="G67" s="24" t="s">
        <v>6</v>
      </c>
      <c r="H67" s="24" t="s">
        <v>7</v>
      </c>
      <c r="I67" s="25" t="s">
        <v>8</v>
      </c>
      <c r="J67" s="24" t="s">
        <v>9</v>
      </c>
      <c r="K67" s="24" t="s">
        <v>10</v>
      </c>
      <c r="L67" s="24" t="s">
        <v>11</v>
      </c>
      <c r="M67" s="24" t="s">
        <v>12</v>
      </c>
      <c r="N67" s="24" t="s">
        <v>13</v>
      </c>
      <c r="O67" s="26" t="s">
        <v>14</v>
      </c>
      <c r="P67" s="26" t="s">
        <v>238</v>
      </c>
    </row>
    <row r="68" spans="1:16" x14ac:dyDescent="0.35">
      <c r="A68" s="28" t="s">
        <v>251</v>
      </c>
      <c r="B68" s="27" t="s">
        <v>252</v>
      </c>
      <c r="C68" s="27" t="s">
        <v>264</v>
      </c>
      <c r="D68" s="27" t="s">
        <v>240</v>
      </c>
      <c r="E68" s="27" t="s">
        <v>241</v>
      </c>
      <c r="F68" s="27" t="s">
        <v>20</v>
      </c>
      <c r="G68" s="27">
        <v>64</v>
      </c>
      <c r="H68" s="43">
        <f>(16.68/100)</f>
        <v>0.1668</v>
      </c>
      <c r="I68" s="5">
        <f>AOM[[#This Row],[Unit Price]]*AOM[[#This Row],[Quantity]]</f>
        <v>10.6752</v>
      </c>
      <c r="J68" s="27" t="s">
        <v>235</v>
      </c>
      <c r="K68" s="27" t="s">
        <v>235</v>
      </c>
      <c r="L68" s="27" t="s">
        <v>242</v>
      </c>
      <c r="M68" s="27" t="s">
        <v>235</v>
      </c>
      <c r="N68" s="27" t="s">
        <v>235</v>
      </c>
      <c r="O68" s="27" t="s">
        <v>235</v>
      </c>
      <c r="P68" s="29" t="s">
        <v>243</v>
      </c>
    </row>
    <row r="69" spans="1:16" ht="27.75" customHeight="1" x14ac:dyDescent="0.35">
      <c r="A69" s="28"/>
      <c r="B69" s="27" t="s">
        <v>250</v>
      </c>
      <c r="C69" s="27" t="s">
        <v>264</v>
      </c>
      <c r="D69" s="27" t="s">
        <v>276</v>
      </c>
      <c r="E69" s="27" t="s">
        <v>241</v>
      </c>
      <c r="F69" s="27" t="s">
        <v>20</v>
      </c>
      <c r="G69" s="27">
        <v>64</v>
      </c>
      <c r="H69" s="43">
        <f>9.49/100</f>
        <v>9.4899999999999998E-2</v>
      </c>
      <c r="I69" s="5">
        <f>AOM[[#This Row],[Unit Price]]*AOM[[#This Row],[Quantity]]</f>
        <v>6.0735999999999999</v>
      </c>
      <c r="J69" s="27" t="s">
        <v>235</v>
      </c>
      <c r="K69" s="27" t="s">
        <v>235</v>
      </c>
      <c r="L69" s="27" t="s">
        <v>249</v>
      </c>
      <c r="M69" s="27" t="s">
        <v>235</v>
      </c>
      <c r="N69" s="27" t="s">
        <v>235</v>
      </c>
      <c r="O69" s="27" t="s">
        <v>235</v>
      </c>
      <c r="P69" s="29" t="s">
        <v>243</v>
      </c>
    </row>
    <row r="70" spans="1:16" x14ac:dyDescent="0.35">
      <c r="A70" t="s">
        <v>370</v>
      </c>
      <c r="B70" t="s">
        <v>245</v>
      </c>
      <c r="C70" t="s">
        <v>264</v>
      </c>
      <c r="D70" t="s">
        <v>367</v>
      </c>
      <c r="E70" t="s">
        <v>210</v>
      </c>
      <c r="F70" t="s">
        <v>20</v>
      </c>
      <c r="G70">
        <f>Overall!L8*1000</f>
        <v>2000</v>
      </c>
      <c r="H70" s="5">
        <v>2.6599999999999999E-2</v>
      </c>
      <c r="I70" s="5">
        <f>AOM[[#This Row],[Unit Price]]*AOM[[#This Row],[Quantity]]</f>
        <v>53.199999999999996</v>
      </c>
      <c r="J70" t="s">
        <v>235</v>
      </c>
      <c r="K70" t="s">
        <v>235</v>
      </c>
      <c r="L70" t="s">
        <v>268</v>
      </c>
      <c r="M70" t="s">
        <v>235</v>
      </c>
      <c r="N70" t="s">
        <v>235</v>
      </c>
      <c r="O70" t="s">
        <v>235</v>
      </c>
      <c r="P70" t="s">
        <v>247</v>
      </c>
    </row>
    <row r="71" spans="1:16" x14ac:dyDescent="0.35">
      <c r="A71" s="36" t="s">
        <v>282</v>
      </c>
      <c r="B71" s="37" t="s">
        <v>245</v>
      </c>
      <c r="C71" s="37" t="s">
        <v>264</v>
      </c>
      <c r="D71" s="37" t="s">
        <v>283</v>
      </c>
      <c r="E71" s="37" t="s">
        <v>210</v>
      </c>
      <c r="F71" s="37" t="s">
        <v>20</v>
      </c>
      <c r="G71" s="37">
        <f>Overall!L7*1000</f>
        <v>2000</v>
      </c>
      <c r="H71" s="44">
        <f t="shared" ref="H71" si="2">0.16/25.4</f>
        <v>6.2992125984251976E-3</v>
      </c>
      <c r="I71" s="5">
        <f>AOM[[#This Row],[Unit Price]]*AOM[[#This Row],[Quantity]]</f>
        <v>12.598425196850394</v>
      </c>
      <c r="J71" t="s">
        <v>235</v>
      </c>
      <c r="K71" t="s">
        <v>235</v>
      </c>
      <c r="L71" t="s">
        <v>320</v>
      </c>
      <c r="M71" t="s">
        <v>235</v>
      </c>
      <c r="N71" t="s">
        <v>235</v>
      </c>
      <c r="O71" t="s">
        <v>235</v>
      </c>
      <c r="P71" t="s">
        <v>247</v>
      </c>
    </row>
    <row r="72" spans="1:16" x14ac:dyDescent="0.35">
      <c r="A72" s="28" t="s">
        <v>309</v>
      </c>
      <c r="B72" s="37" t="s">
        <v>308</v>
      </c>
      <c r="C72" s="37" t="s">
        <v>264</v>
      </c>
      <c r="D72" s="37" t="s">
        <v>278</v>
      </c>
      <c r="E72" s="37" t="s">
        <v>255</v>
      </c>
      <c r="F72" s="37" t="s">
        <v>20</v>
      </c>
      <c r="G72" s="37">
        <f>ROUND(Overall!L7*1000*1.15,1)</f>
        <v>2300</v>
      </c>
      <c r="H72" s="32">
        <f>10.99/5000</f>
        <v>2.1979999999999999E-3</v>
      </c>
      <c r="I72" s="5">
        <f>AOM[[#This Row],[Unit Price]]*AOM[[#This Row],[Quantity]]</f>
        <v>5.0553999999999997</v>
      </c>
      <c r="J72" t="s">
        <v>235</v>
      </c>
      <c r="K72" t="s">
        <v>235</v>
      </c>
      <c r="L72" t="s">
        <v>279</v>
      </c>
      <c r="M72" t="s">
        <v>235</v>
      </c>
      <c r="N72" t="s">
        <v>235</v>
      </c>
      <c r="O72" t="s">
        <v>235</v>
      </c>
      <c r="P72" t="s">
        <v>280</v>
      </c>
    </row>
    <row r="73" spans="1:16" x14ac:dyDescent="0.35">
      <c r="A73" s="28" t="s">
        <v>254</v>
      </c>
      <c r="B73" s="27" t="s">
        <v>253</v>
      </c>
      <c r="C73" s="27" t="s">
        <v>264</v>
      </c>
      <c r="D73" s="27" t="s">
        <v>334</v>
      </c>
      <c r="E73" s="27" t="s">
        <v>255</v>
      </c>
      <c r="F73" s="27" t="s">
        <v>20</v>
      </c>
      <c r="G73" s="27">
        <v>2</v>
      </c>
      <c r="H73" s="43">
        <f>22.64*0.089</f>
        <v>2.0149599999999999</v>
      </c>
      <c r="I73" s="5">
        <f>AOM[[#This Row],[Unit Price]]*AOM[[#This Row],[Quantity]]</f>
        <v>4.0299199999999997</v>
      </c>
      <c r="J73" t="s">
        <v>235</v>
      </c>
      <c r="K73" t="s">
        <v>235</v>
      </c>
      <c r="L73" t="s">
        <v>274</v>
      </c>
      <c r="M73" t="s">
        <v>235</v>
      </c>
      <c r="N73" t="s">
        <v>235</v>
      </c>
      <c r="O73" t="s">
        <v>235</v>
      </c>
      <c r="P73" t="s">
        <v>258</v>
      </c>
    </row>
    <row r="74" spans="1:16" x14ac:dyDescent="0.35">
      <c r="A74" s="28" t="s">
        <v>335</v>
      </c>
      <c r="B74" s="27" t="s">
        <v>336</v>
      </c>
      <c r="C74" s="37" t="s">
        <v>264</v>
      </c>
      <c r="D74" s="27" t="s">
        <v>337</v>
      </c>
      <c r="E74" s="27" t="s">
        <v>210</v>
      </c>
      <c r="F74" s="27" t="s">
        <v>20</v>
      </c>
      <c r="G74" s="27">
        <v>8</v>
      </c>
      <c r="H74" s="43">
        <v>1.2</v>
      </c>
      <c r="I74" s="5">
        <f>AOM[[#This Row],[Unit Price]]*AOM[[#This Row],[Quantity]]</f>
        <v>9.6</v>
      </c>
      <c r="J74" t="s">
        <v>235</v>
      </c>
      <c r="K74" t="s">
        <v>235</v>
      </c>
      <c r="L74" t="s">
        <v>338</v>
      </c>
      <c r="M74" t="s">
        <v>235</v>
      </c>
      <c r="N74" t="s">
        <v>235</v>
      </c>
      <c r="O74" t="s">
        <v>235</v>
      </c>
    </row>
    <row r="75" spans="1:16" ht="28.5" x14ac:dyDescent="0.65">
      <c r="A75" s="49" t="s">
        <v>205</v>
      </c>
      <c r="B75" s="49"/>
      <c r="C75" s="49"/>
      <c r="D75" s="49"/>
      <c r="E75" s="49"/>
      <c r="F75" s="49"/>
      <c r="G75" s="49"/>
      <c r="H75" s="49"/>
      <c r="I75" s="5">
        <f>SUM(AOM[Extended Price])</f>
        <v>101.2325451968504</v>
      </c>
    </row>
  </sheetData>
  <mergeCells count="10">
    <mergeCell ref="A75:H75"/>
    <mergeCell ref="A55:O55"/>
    <mergeCell ref="A64:H64"/>
    <mergeCell ref="A66:O66"/>
    <mergeCell ref="A1:O1"/>
    <mergeCell ref="A16:O16"/>
    <mergeCell ref="A14:H14"/>
    <mergeCell ref="A36:H36"/>
    <mergeCell ref="A38:O38"/>
    <mergeCell ref="A53:H53"/>
  </mergeCells>
  <conditionalFormatting sqref="I3:I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H6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I6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H6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69 H7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0 I23:I26 I32:I33 I28:I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 H23:H26 H32:H33 H28:H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0 I32:I33 I23:I2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 H32:H33 H23:H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Electrical 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Bruslind</cp:lastModifiedBy>
  <dcterms:created xsi:type="dcterms:W3CDTF">2021-03-29T18:37:09Z</dcterms:created>
  <dcterms:modified xsi:type="dcterms:W3CDTF">2021-11-09T00:12:09Z</dcterms:modified>
</cp:coreProperties>
</file>