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Admin\"/>
    </mc:Choice>
  </mc:AlternateContent>
  <xr:revisionPtr revIDLastSave="0" documentId="13_ncr:1_{EECAD2CC-EB16-4322-BD7C-622BFDEED853}" xr6:coauthVersionLast="46" xr6:coauthVersionMax="46" xr10:uidLastSave="{00000000-0000-0000-0000-000000000000}"/>
  <bookViews>
    <workbookView xWindow="28680" yWindow="-2370" windowWidth="25440" windowHeight="15390" activeTab="1" xr2:uid="{FC71E593-D2D1-453C-B906-E07DE7904A14}"/>
  </bookViews>
  <sheets>
    <sheet name="Overall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K40" i="2"/>
  <c r="K41" i="2"/>
  <c r="K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" i="2"/>
  <c r="D21" i="1"/>
  <c r="D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8" i="1"/>
  <c r="D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D5" i="1"/>
  <c r="I5" i="1"/>
  <c r="D4" i="1"/>
  <c r="D3" i="1"/>
  <c r="I4" i="1"/>
  <c r="I3" i="1"/>
  <c r="I2" i="1"/>
  <c r="D2" i="1"/>
  <c r="P2" i="1" l="1"/>
</calcChain>
</file>

<file path=xl/sharedStrings.xml><?xml version="1.0" encoding="utf-8"?>
<sst xmlns="http://schemas.openxmlformats.org/spreadsheetml/2006/main" count="494" uniqueCount="183">
  <si>
    <t>Date needed</t>
  </si>
  <si>
    <t>Shipping</t>
  </si>
  <si>
    <t>Requester</t>
  </si>
  <si>
    <t>Source</t>
  </si>
  <si>
    <t>Description</t>
  </si>
  <si>
    <t>Units</t>
  </si>
  <si>
    <t>Part number</t>
  </si>
  <si>
    <t>Price/unit</t>
  </si>
  <si>
    <t>Total</t>
  </si>
  <si>
    <t>Purpose: X for Y</t>
  </si>
  <si>
    <t>Notes</t>
  </si>
  <si>
    <t>Project</t>
  </si>
  <si>
    <t>Jorian</t>
  </si>
  <si>
    <t>Jorian Bruslind</t>
  </si>
  <si>
    <t>Amazon Basics PETG</t>
  </si>
  <si>
    <t>PETG175GY21000C</t>
  </si>
  <si>
    <t>Weatherproof Printing</t>
  </si>
  <si>
    <t>HyperRail</t>
  </si>
  <si>
    <t>M4x50mm threaded Nut Standoff</t>
  </si>
  <si>
    <t>Standoff for PCBs on NEMA23 motors</t>
  </si>
  <si>
    <t xml:space="preserve">M4 Bolt Assortment </t>
  </si>
  <si>
    <t>STBR-240p-M4</t>
  </si>
  <si>
    <t>Mounting hardware for weatherproof cases</t>
  </si>
  <si>
    <t>SubTotal</t>
  </si>
  <si>
    <t xml:space="preserve">100mm 2020 Aluminum </t>
  </si>
  <si>
    <t>B074598NBK</t>
  </si>
  <si>
    <t>Updated Carriage mounts</t>
  </si>
  <si>
    <t>40pc Female/Male Header</t>
  </si>
  <si>
    <t>Pin soldering for PCBs</t>
  </si>
  <si>
    <t>Index</t>
  </si>
  <si>
    <t>Quantity</t>
  </si>
  <si>
    <t>Part Number</t>
  </si>
  <si>
    <t>Manufacturer Part Number</t>
  </si>
  <si>
    <t>Customer Reference</t>
  </si>
  <si>
    <t>Available</t>
  </si>
  <si>
    <t>Backorder</t>
  </si>
  <si>
    <t>Unit Price</t>
  </si>
  <si>
    <t>Extended Price USD</t>
  </si>
  <si>
    <t>160-1827-1-ND</t>
  </si>
  <si>
    <t>LTST-C193TBKT-5A</t>
  </si>
  <si>
    <t>LED BLUE CLEAR CHIP SMD</t>
  </si>
  <si>
    <t>1, 2, 3</t>
  </si>
  <si>
    <t>478-1841-ND</t>
  </si>
  <si>
    <t>TAP106K025SCS</t>
  </si>
  <si>
    <t>CAP TANT 10UF 10% 25V RADIAL</t>
  </si>
  <si>
    <t>C1, C3</t>
  </si>
  <si>
    <t>399-C1206C104K5RAC7800CT-ND</t>
  </si>
  <si>
    <t>C1206C104K5RAC7800</t>
  </si>
  <si>
    <t>CAP CER 0.1UF 50V X7R 1206</t>
  </si>
  <si>
    <t>C2, C6, C10</t>
  </si>
  <si>
    <t>1276-2876-1-ND</t>
  </si>
  <si>
    <t>CL31A106KBHNNNE</t>
  </si>
  <si>
    <t>CAP CER 10UF 50V X5R 1206</t>
  </si>
  <si>
    <t>C4, C5</t>
  </si>
  <si>
    <t>1276-3091-1-ND</t>
  </si>
  <si>
    <t>CL31B105KBHNFNE</t>
  </si>
  <si>
    <t>CAP CER 1UF 50V X7R 1206</t>
  </si>
  <si>
    <t>C8, C11</t>
  </si>
  <si>
    <t>151-1206-1-ND</t>
  </si>
  <si>
    <t>690-005-299-043</t>
  </si>
  <si>
    <t>CONN RCPT USB2.0 MINI B SMD R/A</t>
  </si>
  <si>
    <t>J1</t>
  </si>
  <si>
    <t>609-1046-ND</t>
  </si>
  <si>
    <t>54602-908LF</t>
  </si>
  <si>
    <t>CONN MOD JACK 8P8C R/A UNSHLD</t>
  </si>
  <si>
    <t>J9, J10, J11, J12, J13, J14</t>
  </si>
  <si>
    <t>MBT2222ADW1T1GOSCT-ND</t>
  </si>
  <si>
    <t>MBT2222ADW1T1G</t>
  </si>
  <si>
    <t>TRANS 2NPN 40V 0.6A SC88/SC70-6</t>
  </si>
  <si>
    <t>Q1</t>
  </si>
  <si>
    <t>P8.2KACT-ND</t>
  </si>
  <si>
    <t>ERJ-6GEYJ822V</t>
  </si>
  <si>
    <t>RES SMD 8.2K OHM 5% 1/8W 0805</t>
  </si>
  <si>
    <t>R1, R2, R3, R4, R5, R6, R7, R8, R9, R10, R11, R1</t>
  </si>
  <si>
    <t>541-22.1KFCT-ND</t>
  </si>
  <si>
    <t>CRCW120622K1FKEA</t>
  </si>
  <si>
    <t>RES SMD 22.1K OHM 1% 1/4W 1206</t>
  </si>
  <si>
    <t>R17</t>
  </si>
  <si>
    <t>RMCF1206FT47K5CT-ND</t>
  </si>
  <si>
    <t>RMCF1206FT47K5</t>
  </si>
  <si>
    <t>RES 47.5K OHM 1% 1/4W 1206</t>
  </si>
  <si>
    <t>R18</t>
  </si>
  <si>
    <t>RMCF0603FT4K70CT-ND</t>
  </si>
  <si>
    <t>RMCF0603FT4K70</t>
  </si>
  <si>
    <t>RES 4.7K OHM 1% 1/10W 0603</t>
  </si>
  <si>
    <t>R19</t>
  </si>
  <si>
    <t>A130089CT-ND</t>
  </si>
  <si>
    <t>CRGCQ0603J470R</t>
  </si>
  <si>
    <t>CRGCQ 0603 470R 5%</t>
  </si>
  <si>
    <t>R20</t>
  </si>
  <si>
    <t>311-150HRCT-ND</t>
  </si>
  <si>
    <t>RC0603FR-07150RL</t>
  </si>
  <si>
    <t>RES SMD 150 OHM 1% 1/10W 0603</t>
  </si>
  <si>
    <t>R21</t>
  </si>
  <si>
    <t>450-1790-1-ND</t>
  </si>
  <si>
    <t>1-1825059-2</t>
  </si>
  <si>
    <t>SWITCH SLIDE DIP SPST 100MA 24V</t>
  </si>
  <si>
    <t>S1, S2</t>
  </si>
  <si>
    <t>LM1117MPX-ADJ/NOPBCT-ND</t>
  </si>
  <si>
    <t>LM1117MPX-ADJ/NOPB</t>
  </si>
  <si>
    <t>IC REG LIN POS ADJ 800MA SOT223</t>
  </si>
  <si>
    <t>U1</t>
  </si>
  <si>
    <t>296-LMZM23601V5SILRCT-ND</t>
  </si>
  <si>
    <t>LMZM23601V5SILR</t>
  </si>
  <si>
    <t>DC DC CONVERTER 5V</t>
  </si>
  <si>
    <t>U2</t>
  </si>
  <si>
    <t>296-14308-5-ND</t>
  </si>
  <si>
    <t>SN74AHCT595D</t>
  </si>
  <si>
    <t>IC 8-BIT SHIFT REGISTER 16-SOIC</t>
  </si>
  <si>
    <t>U3, U4, U5</t>
  </si>
  <si>
    <t>336-5890-1-ND</t>
  </si>
  <si>
    <t>CP2102N-A02-GQFN28R</t>
  </si>
  <si>
    <t>IC USB TO UART BRIDGE QFN28</t>
  </si>
  <si>
    <t>U6</t>
  </si>
  <si>
    <t>SBR80520LT1GOSCT-ND</t>
  </si>
  <si>
    <t>SBR80520LT1G</t>
  </si>
  <si>
    <t>DIODE SCHOTTKY 20V 500MA SOD123</t>
  </si>
  <si>
    <t>VD1, VD2</t>
  </si>
  <si>
    <t>ED2561-ND</t>
  </si>
  <si>
    <t>OSTTA020161</t>
  </si>
  <si>
    <t>TERM BLK 2POS SIDE ENTRY 5MM PCB</t>
  </si>
  <si>
    <t>J2, J3, J4, J5, J6, J7, VIN (1</t>
  </si>
  <si>
    <t>5V, 24V_ INTEGRATED</t>
  </si>
  <si>
    <t>C1, C2, C9, C11, C12_ INTEGRATED</t>
  </si>
  <si>
    <t>1276-2789-1-ND</t>
  </si>
  <si>
    <t>CL31B475KBHNNNE</t>
  </si>
  <si>
    <t>CAP CER 4.7UF 50V X7R 1206</t>
  </si>
  <si>
    <t>C8_ INTEGRATED</t>
  </si>
  <si>
    <t>J1_ INTEGRATED</t>
  </si>
  <si>
    <t>609-4729-ND</t>
  </si>
  <si>
    <t>54601-906WPLF</t>
  </si>
  <si>
    <t>CONN MOD JACK 6P6C R/A UNSHLD</t>
  </si>
  <si>
    <t>J2_ INTEGRATED</t>
  </si>
  <si>
    <t>ED2637-ND</t>
  </si>
  <si>
    <t>OSTTE040161</t>
  </si>
  <si>
    <t>TERM BLK 4POS SIDE ENT 3.5MM PCB</t>
  </si>
  <si>
    <t>J3_ INTEGRATED</t>
  </si>
  <si>
    <t>P19309CT-ND</t>
  </si>
  <si>
    <t>ERJ-6DSFR11V</t>
  </si>
  <si>
    <t>RES 0.11 OHM 1% 1/2W 0805</t>
  </si>
  <si>
    <t>R1, R2_ INTEGRATED</t>
  </si>
  <si>
    <t>311-20.0KHRCT-ND</t>
  </si>
  <si>
    <t>RC0603FR-0720KL</t>
  </si>
  <si>
    <t>RES SMD 20K OHM 1% 1/10W 0603</t>
  </si>
  <si>
    <t>R3, R5, R6, R7, R8, R9_ INTEGRATED</t>
  </si>
  <si>
    <t>TC33X-2-203ECT-ND</t>
  </si>
  <si>
    <t>TC33X-2-203E</t>
  </si>
  <si>
    <t>TRIMMER 20K OHM 0.1W J LEAD TOP</t>
  </si>
  <si>
    <t>R4_ INTEGRATED</t>
  </si>
  <si>
    <t>U3_ INTEGRATED</t>
  </si>
  <si>
    <t>SW1_INTEGRATED</t>
  </si>
  <si>
    <t>VD1, VD2_ INTEGRATED</t>
  </si>
  <si>
    <t>1276-1033-1-ND</t>
  </si>
  <si>
    <t>CL10B104JB8NNNC</t>
  </si>
  <si>
    <t>CAP CER 0.1UF 50V X7R 0603</t>
  </si>
  <si>
    <t>C3, C4, C6, C7, C10_ INTEGRATED</t>
  </si>
  <si>
    <t>1292-1417-1-ND</t>
  </si>
  <si>
    <t>0603B223K500CT</t>
  </si>
  <si>
    <t>CAP CER 0.022UF 50V X7R 0603</t>
  </si>
  <si>
    <t>C5_ INTEGRATED</t>
  </si>
  <si>
    <t>R19_ INTEGRATED</t>
  </si>
  <si>
    <t>R20_ INTEGRATED</t>
  </si>
  <si>
    <t>TC33X-1-203ECT-ND</t>
  </si>
  <si>
    <t>TC33X-1-203E</t>
  </si>
  <si>
    <t>HE627-ND</t>
  </si>
  <si>
    <t>59145-040</t>
  </si>
  <si>
    <t>SENSOR REED SW SPST-NC W LEADS</t>
  </si>
  <si>
    <t>MAG SWITCH RECIEVER</t>
  </si>
  <si>
    <t>57145-000-ND</t>
  </si>
  <si>
    <t>57145-000</t>
  </si>
  <si>
    <t>MAGNET 1.125"L X 0.259"W PLASTIC</t>
  </si>
  <si>
    <t>MAG SWITCH TRANSMITTER</t>
  </si>
  <si>
    <t>315-NC191SNL50-ND</t>
  </si>
  <si>
    <t>NC191SNL50</t>
  </si>
  <si>
    <t>SMOOTH FLOW LEAD-FREE SOLDER PAS</t>
  </si>
  <si>
    <t>Main Controlling PCB Assembly</t>
  </si>
  <si>
    <t>Integrated Stepper Driver PCB Assembly</t>
  </si>
  <si>
    <t>Solder for assembly of PCBS</t>
  </si>
  <si>
    <t>CONN MOD JACK 6P4C R/A UNSHLD</t>
  </si>
  <si>
    <t>A128140-ND</t>
  </si>
  <si>
    <t>SWITCH TACTILE SPST-NO 0.05A 24V</t>
  </si>
  <si>
    <t>450-1650-ND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</si>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</sst>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thin">
        <color theme="9" tint="0.39997558519241921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4" xfId="0" applyFont="1" applyFill="1" applyBorder="1" applyAlignment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2" xfId="0" applyFont="1" applyFill="1" applyBorder="1" applyAlignment="1"/>
    <xf numFmtId="0" fontId="0" fillId="0" borderId="0" xfId="0" applyFill="1" applyAlignment="1"/>
    <xf numFmtId="0" fontId="3" fillId="0" borderId="3" xfId="0" applyFont="1" applyFill="1" applyBorder="1" applyAlignment="1"/>
    <xf numFmtId="0" fontId="4" fillId="0" borderId="3" xfId="0" applyFont="1" applyFill="1" applyBorder="1" applyAlignment="1"/>
    <xf numFmtId="0" fontId="6" fillId="0" borderId="3" xfId="2" applyFill="1" applyBorder="1" applyAlignment="1"/>
    <xf numFmtId="0" fontId="5" fillId="0" borderId="3" xfId="0" applyFont="1" applyFill="1" applyBorder="1" applyAlignment="1">
      <alignment horizontal="right"/>
    </xf>
    <xf numFmtId="44" fontId="3" fillId="0" borderId="3" xfId="1" applyFont="1" applyFill="1" applyBorder="1" applyAlignment="1">
      <alignment horizontal="right"/>
    </xf>
    <xf numFmtId="0" fontId="2" fillId="0" borderId="0" xfId="0" applyFont="1" applyFill="1" applyAlignment="1"/>
    <xf numFmtId="44" fontId="0" fillId="0" borderId="0" xfId="0" applyNumberFormat="1" applyFill="1" applyAlignment="1"/>
    <xf numFmtId="0" fontId="5" fillId="0" borderId="4" xfId="0" applyFont="1" applyFill="1" applyBorder="1" applyAlignment="1">
      <alignment horizontal="right"/>
    </xf>
    <xf numFmtId="44" fontId="3" fillId="0" borderId="4" xfId="1" applyFont="1" applyFill="1" applyBorder="1" applyAlignment="1">
      <alignment horizontal="right"/>
    </xf>
    <xf numFmtId="0" fontId="8" fillId="0" borderId="0" xfId="0" applyFon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6" xfId="0" applyFont="1" applyFill="1" applyBorder="1" applyAlignment="1"/>
    <xf numFmtId="0" fontId="5" fillId="0" borderId="6" xfId="0" applyFont="1" applyFill="1" applyBorder="1" applyAlignment="1">
      <alignment horizontal="right"/>
    </xf>
    <xf numFmtId="44" fontId="3" fillId="0" borderId="6" xfId="1" applyNumberFormat="1" applyFont="1" applyFill="1" applyBorder="1" applyAlignment="1">
      <alignment horizontal="right"/>
    </xf>
    <xf numFmtId="0" fontId="3" fillId="0" borderId="5" xfId="0" applyFont="1" applyFill="1" applyBorder="1" applyAlignment="1"/>
    <xf numFmtId="0" fontId="5" fillId="0" borderId="5" xfId="0" applyFont="1" applyFill="1" applyBorder="1" applyAlignment="1">
      <alignment horizontal="right"/>
    </xf>
    <xf numFmtId="44" fontId="3" fillId="0" borderId="5" xfId="1" applyNumberFormat="1" applyFont="1" applyFill="1" applyBorder="1" applyAlignment="1">
      <alignment horizontal="right"/>
    </xf>
    <xf numFmtId="0" fontId="3" fillId="0" borderId="7" xfId="0" applyFont="1" applyFill="1" applyBorder="1" applyAlignment="1"/>
    <xf numFmtId="0" fontId="5" fillId="0" borderId="7" xfId="0" applyFont="1" applyFill="1" applyBorder="1" applyAlignment="1">
      <alignment horizontal="right"/>
    </xf>
    <xf numFmtId="44" fontId="3" fillId="0" borderId="7" xfId="1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0"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border outline="0">
        <top style="medium">
          <color rgb="FFCCCCCC"/>
        </top>
      </border>
    </dxf>
    <dxf>
      <border outline="0"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BDBFC-0040-488F-A14D-50680DEE51A9}" name="Table1" displayName="Table1" ref="A1:L46" totalsRowShown="0" headerRowDxfId="29" dataDxfId="27" headerRowBorderDxfId="28" tableBorderDxfId="26" totalsRowBorderDxfId="25">
  <autoFilter ref="A1:L46" xr:uid="{77151423-1B2A-4470-8822-1A315E897150}"/>
  <tableColumns count="12">
    <tableColumn id="1" xr3:uid="{CC88C53F-726A-425D-90A5-C838FFD1FC8D}" name="Date needed" dataDxfId="24"/>
    <tableColumn id="2" xr3:uid="{8ED03E7E-506A-4EF5-94A3-A24D108E43EE}" name="Shipping" dataDxfId="23"/>
    <tableColumn id="3" xr3:uid="{1DB284AE-77CA-42C2-8DAB-D69BC223494F}" name="Requester" dataDxfId="22"/>
    <tableColumn id="4" xr3:uid="{D50BF9C3-B57F-43FD-B322-8D5833B9F22D}" name="Source" dataDxfId="21" dataCellStyle="Hyperlink">
      <calculatedColumnFormula>HYPERLINK("https://www.amazon.com/AmazonBasics-Printer-Filament-1-75mm-Black/dp/B07T2QZYS1/ref=sr_1_15?dchild=1&amp;keywords=PETG&amp;qid=1617819005&amp;sr=8-15&amp;th=1","Amazon")</calculatedColumnFormula>
    </tableColumn>
    <tableColumn id="5" xr3:uid="{D8F29473-C36E-4E86-8820-F79741720813}" name="Description" dataDxfId="20"/>
    <tableColumn id="6" xr3:uid="{CBA968D8-9A82-41B1-955C-4E21934861A9}" name="Units" dataDxfId="19"/>
    <tableColumn id="7" xr3:uid="{98BDFD10-EB34-4902-BE4B-F77503488929}" name="Part number" dataDxfId="18"/>
    <tableColumn id="8" xr3:uid="{951205BB-92C6-448D-BE14-2265BFBB63BF}" name="Price/unit" dataDxfId="17" dataCellStyle="Currency"/>
    <tableColumn id="9" xr3:uid="{8A166005-67D3-4E42-A96E-A93874D808EF}" name="Total" dataDxfId="16" dataCellStyle="Currency">
      <calculatedColumnFormula>Table1[[#This Row],[Price/unit]]*Table1[[#This Row],[Units]]</calculatedColumnFormula>
    </tableColumn>
    <tableColumn id="10" xr3:uid="{896DDBB2-F53B-4A39-8EB5-A975A4049ECA}" name="Purpose: X for Y" dataDxfId="15"/>
    <tableColumn id="11" xr3:uid="{1FCCE8EF-0FF7-464C-9451-A29EF0846838}" name="Notes" dataDxfId="14"/>
    <tableColumn id="12" xr3:uid="{28CDBEEF-6DF9-4CFD-A5B4-4921F498468A}" name="Project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D101D-2BBF-4AB8-B72A-AD01B0CACAF1}" name="Table2" displayName="Table2" ref="A1:K42" totalsRowShown="0" headerRowDxfId="1" dataDxfId="0">
  <autoFilter ref="A1:K42" xr:uid="{FC79B25F-705F-4544-95AB-48DDE6EC7500}"/>
  <tableColumns count="11">
    <tableColumn id="1" xr3:uid="{2BFF2108-3761-4FFA-A42B-DA13A7CAFEA8}" name="Index" dataDxfId="12"/>
    <tableColumn id="2" xr3:uid="{0D6432D9-4F9A-41EB-9FFD-E7936A0A1236}" name="Quantity" dataDxfId="11"/>
    <tableColumn id="3" xr3:uid="{67C4D418-0DCD-4942-ADBB-7016359F45EF}" name="Part Number" dataDxfId="10"/>
    <tableColumn id="4" xr3:uid="{05A12B20-A039-47B1-A6FA-720860746F53}" name="Manufacturer Part Number" dataDxfId="9"/>
    <tableColumn id="5" xr3:uid="{4565BF5D-210C-4A40-8D26-01216B70FD8B}" name="Description" dataDxfId="8"/>
    <tableColumn id="6" xr3:uid="{97283DF7-B740-49F7-B371-9E8E23E5603E}" name="Customer Reference" dataDxfId="7"/>
    <tableColumn id="7" xr3:uid="{AF0F1AD3-4D1F-4A9E-9355-FE87C3408651}" name="Available" dataDxfId="6"/>
    <tableColumn id="8" xr3:uid="{53E8BA7E-3BE3-47A6-ABA4-5C49F6991318}" name="Backorder" dataDxfId="5"/>
    <tableColumn id="9" xr3:uid="{ACA0C6D9-0F1D-4947-940D-92967B736E1D}" name="Unit Price" dataDxfId="4"/>
    <tableColumn id="10" xr3:uid="{648A605F-A069-47C1-883D-BCCB7345EEBA}" name="Extended Price USD" dataDxfId="3"/>
    <tableColumn id="11" xr3:uid="{6313083A-AE40-4548-A120-425908953C90}" name="Column1" dataDxfId="2">
      <calculatedColumnFormula>IF(Table2[[#This Row],[Part Number]]=O2, 1, 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04ZIENBA/ref=ox_sc_act_title_1?smid=ATVPDKIKX0DER&amp;psc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2B52-33F4-4B8E-8548-DD772DC25706}">
  <dimension ref="A1:P46"/>
  <sheetViews>
    <sheetView topLeftCell="A12" workbookViewId="0">
      <selection activeCell="E7" sqref="E7:K46"/>
    </sheetView>
  </sheetViews>
  <sheetFormatPr defaultRowHeight="15" x14ac:dyDescent="0.25"/>
  <cols>
    <col min="1" max="1" width="14.85546875" style="5" bestFit="1" customWidth="1"/>
    <col min="2" max="2" width="13.28515625" style="5" bestFit="1" customWidth="1"/>
    <col min="3" max="3" width="12.42578125" style="5" bestFit="1" customWidth="1"/>
    <col min="4" max="4" width="9.7109375" style="5" bestFit="1" customWidth="1"/>
    <col min="5" max="5" width="39.5703125" style="5" bestFit="1" customWidth="1"/>
    <col min="6" max="6" width="7.7109375" style="5" bestFit="1" customWidth="1"/>
    <col min="7" max="7" width="18.28515625" style="5" bestFit="1" customWidth="1"/>
    <col min="8" max="8" width="12" style="5" bestFit="1" customWidth="1"/>
    <col min="9" max="9" width="7.85546875" style="5" bestFit="1" customWidth="1"/>
    <col min="10" max="10" width="36.5703125" style="5" bestFit="1" customWidth="1"/>
    <col min="11" max="11" width="44.140625" style="5" bestFit="1" customWidth="1"/>
    <col min="12" max="12" width="9.7109375" style="5" bestFit="1" customWidth="1"/>
    <col min="13" max="14" width="9.140625" style="5"/>
    <col min="15" max="15" width="8.7109375" style="5" bestFit="1" customWidth="1"/>
    <col min="16" max="16" width="9" style="5" bestFit="1" customWidth="1"/>
    <col min="17" max="16384" width="9.140625" style="5"/>
  </cols>
  <sheetData>
    <row r="1" spans="1:16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6" ht="15.75" thickBot="1" x14ac:dyDescent="0.3">
      <c r="A2" s="6"/>
      <c r="B2" s="7" t="s">
        <v>13</v>
      </c>
      <c r="C2" s="7" t="s">
        <v>12</v>
      </c>
      <c r="D2" s="8" t="str">
        <f>HYPERLINK("https://www.amazon.com/AmazonBasics-Printer-Filament-1-75mm-Black/dp/B07T2QZYS1/ref=sr_1_15?dchild=1&amp;keywords=PETG&amp;qid=1617819005&amp;sr=8-15&amp;th=1","Amazon")</f>
        <v>Amazon</v>
      </c>
      <c r="E2" s="6" t="s">
        <v>14</v>
      </c>
      <c r="F2" s="9">
        <v>1</v>
      </c>
      <c r="G2" s="6" t="s">
        <v>15</v>
      </c>
      <c r="H2" s="10">
        <v>19.100000000000001</v>
      </c>
      <c r="I2" s="10">
        <f>Table1[[#This Row],[Price/unit]]*Table1[[#This Row],[Units]]</f>
        <v>19.100000000000001</v>
      </c>
      <c r="J2" s="6" t="s">
        <v>16</v>
      </c>
      <c r="K2" s="6"/>
      <c r="L2" s="6" t="s">
        <v>17</v>
      </c>
      <c r="O2" s="11" t="s">
        <v>23</v>
      </c>
      <c r="P2" s="12">
        <f>SUM(Table1[Total])</f>
        <v>199.62699999999995</v>
      </c>
    </row>
    <row r="3" spans="1:16" ht="15.75" thickBot="1" x14ac:dyDescent="0.3">
      <c r="A3" s="6"/>
      <c r="B3" s="7" t="s">
        <v>13</v>
      </c>
      <c r="C3" s="7" t="s">
        <v>12</v>
      </c>
      <c r="D3" s="8" t="str">
        <f>HYPERLINK("https://www.amazon.com/Mecion-Female-Threaded-Hexagonal-Standoff/dp/B07Y88858T/ref=sr_1_10?dchild=1&amp;keywords=M4+standoff&amp;qid=1618272648&amp;sr=8-10","Amazon")</f>
        <v>Amazon</v>
      </c>
      <c r="E3" s="6" t="s">
        <v>18</v>
      </c>
      <c r="F3" s="9">
        <v>1</v>
      </c>
      <c r="G3" s="6"/>
      <c r="H3" s="10">
        <v>9.89</v>
      </c>
      <c r="I3" s="10">
        <f>Table1[[#This Row],[Price/unit]]*Table1[[#This Row],[Units]]</f>
        <v>9.89</v>
      </c>
      <c r="J3" s="6" t="s">
        <v>19</v>
      </c>
      <c r="K3" s="6"/>
      <c r="L3" s="6" t="s">
        <v>17</v>
      </c>
    </row>
    <row r="4" spans="1:16" ht="15.75" thickBot="1" x14ac:dyDescent="0.3">
      <c r="A4" s="6"/>
      <c r="B4" s="7" t="s">
        <v>13</v>
      </c>
      <c r="C4" s="7" t="s">
        <v>12</v>
      </c>
      <c r="D4" s="8" t="str">
        <f>HYPERLINK("https://www.amazon.com/Sutemribor-240Pcs-Stainless-Button-Assortment/dp/B07CYM1N8R/ref=sr_1_3?dchild=1&amp;keywords=M4+bolt&amp;qid=1618272837&amp;sr=8-3","Amazon")</f>
        <v>Amazon</v>
      </c>
      <c r="E4" s="6" t="s">
        <v>20</v>
      </c>
      <c r="F4" s="9">
        <v>1</v>
      </c>
      <c r="G4" s="6" t="s">
        <v>21</v>
      </c>
      <c r="H4" s="10">
        <v>12.99</v>
      </c>
      <c r="I4" s="10">
        <f>Table1[[#This Row],[Price/unit]]*Table1[[#This Row],[Units]]</f>
        <v>12.99</v>
      </c>
      <c r="J4" s="6" t="s">
        <v>22</v>
      </c>
      <c r="K4" s="6"/>
      <c r="L4" s="6" t="s">
        <v>17</v>
      </c>
    </row>
    <row r="5" spans="1:16" ht="15.75" thickBot="1" x14ac:dyDescent="0.3">
      <c r="A5" s="6"/>
      <c r="B5" s="7" t="s">
        <v>13</v>
      </c>
      <c r="C5" s="7" t="s">
        <v>12</v>
      </c>
      <c r="D5" s="8" t="str">
        <f>HYPERLINK("https://www.amazon.com/European-Standard-Anodized-Aluminum-Extrusion/dp/B074598NBK/ref=sr_1_1?dchild=1&amp;keywords=2020%2B100mm&amp;qid=1618273581&amp;sr=8-1&amp;th=1","Amazon")</f>
        <v>Amazon</v>
      </c>
      <c r="E5" s="6" t="s">
        <v>24</v>
      </c>
      <c r="F5" s="9">
        <v>1</v>
      </c>
      <c r="G5" s="6" t="s">
        <v>25</v>
      </c>
      <c r="H5" s="10">
        <v>12.99</v>
      </c>
      <c r="I5" s="10">
        <f>Table1[[#This Row],[Price/unit]]*Table1[[#This Row],[Units]]</f>
        <v>12.99</v>
      </c>
      <c r="J5" s="6" t="s">
        <v>26</v>
      </c>
      <c r="K5" s="6"/>
      <c r="L5" s="6" t="s">
        <v>17</v>
      </c>
    </row>
    <row r="6" spans="1:16" ht="15.75" thickBot="1" x14ac:dyDescent="0.3">
      <c r="A6" s="6"/>
      <c r="B6" s="7" t="s">
        <v>13</v>
      </c>
      <c r="C6" s="7" t="s">
        <v>12</v>
      </c>
      <c r="D6" s="8" t="str">
        <f>HYPERLINK("https://www.amazon.com/DEPEPE-2-54mm-Headers-Arduino-Prototype/dp/B074HVBTZ4/ref=sr_1_4?dchild=1&amp;keywords=header+pin&amp;qid=1618353738&amp;sr=8-4","Amazon")</f>
        <v>Amazon</v>
      </c>
      <c r="E6" s="6" t="s">
        <v>27</v>
      </c>
      <c r="F6" s="9">
        <v>1</v>
      </c>
      <c r="G6" s="6"/>
      <c r="H6" s="10">
        <v>5.49</v>
      </c>
      <c r="I6" s="10">
        <f>Table1[[#This Row],[Price/unit]]*Table1[[#This Row],[Units]]</f>
        <v>5.49</v>
      </c>
      <c r="J6" s="6" t="s">
        <v>28</v>
      </c>
      <c r="K6" s="6"/>
      <c r="L6" s="6" t="s">
        <v>17</v>
      </c>
    </row>
    <row r="7" spans="1:16" ht="15.75" thickBot="1" x14ac:dyDescent="0.3">
      <c r="A7" s="6"/>
      <c r="B7" s="7" t="s">
        <v>13</v>
      </c>
      <c r="C7" s="7" t="s">
        <v>12</v>
      </c>
      <c r="D7" s="8" t="str">
        <f t="shared" ref="D7:D28" si="0">HYPERLINK("https://www.digikey.com/en/products/detail/lite-on-inc/LTST-C193TBKT-5A/2053656?s=N4IgTCBcDaIIwDYAMBaOAOMB2NKByAIiALoC%2BQA","Digikey")</f>
        <v>Digikey</v>
      </c>
      <c r="E7" s="6" t="s">
        <v>40</v>
      </c>
      <c r="F7" s="9">
        <v>3</v>
      </c>
      <c r="G7" s="6" t="s">
        <v>38</v>
      </c>
      <c r="H7" s="10">
        <v>0.3</v>
      </c>
      <c r="I7" s="10">
        <f>Table1[[#This Row],[Price/unit]]*Table1[[#This Row],[Units]]</f>
        <v>0.89999999999999991</v>
      </c>
      <c r="J7" s="6" t="s">
        <v>175</v>
      </c>
      <c r="K7" s="6" t="s">
        <v>41</v>
      </c>
      <c r="L7" s="6" t="s">
        <v>17</v>
      </c>
    </row>
    <row r="8" spans="1:16" ht="15.75" thickBot="1" x14ac:dyDescent="0.3">
      <c r="A8" s="1"/>
      <c r="B8" s="7" t="s">
        <v>13</v>
      </c>
      <c r="C8" s="7" t="s">
        <v>12</v>
      </c>
      <c r="D8" s="8" t="str">
        <f>HYPERLINK("https://www.digikey.com/en/products/detail/avx-corporation/TAP106K025SCS/563944?s=N4IgTCBcDaICwHYAcBaAjEuaUDkAiIAugL5A","Digikey")</f>
        <v>Digikey</v>
      </c>
      <c r="E8" s="1" t="s">
        <v>44</v>
      </c>
      <c r="F8" s="13">
        <v>2</v>
      </c>
      <c r="G8" s="1" t="s">
        <v>42</v>
      </c>
      <c r="H8" s="14">
        <v>0.82</v>
      </c>
      <c r="I8" s="14">
        <f>Table1[[#This Row],[Price/unit]]*Table1[[#This Row],[Units]]</f>
        <v>1.64</v>
      </c>
      <c r="J8" s="6" t="s">
        <v>175</v>
      </c>
      <c r="K8" s="1" t="s">
        <v>45</v>
      </c>
      <c r="L8" s="6" t="s">
        <v>17</v>
      </c>
    </row>
    <row r="9" spans="1:16" ht="15.75" thickBot="1" x14ac:dyDescent="0.3">
      <c r="A9" s="1"/>
      <c r="B9" s="7" t="s">
        <v>13</v>
      </c>
      <c r="C9" s="7" t="s">
        <v>12</v>
      </c>
      <c r="D9" s="8" t="str">
        <f>HYPERLINK("https://www.digikey.com/en/products/detail/kemet/C1206C104K5RAC7800/411248","Digikey")</f>
        <v>Digikey</v>
      </c>
      <c r="E9" s="1" t="s">
        <v>48</v>
      </c>
      <c r="F9" s="13">
        <v>3</v>
      </c>
      <c r="G9" s="1" t="s">
        <v>46</v>
      </c>
      <c r="H9" s="14">
        <v>0.11</v>
      </c>
      <c r="I9" s="14">
        <f>Table1[[#This Row],[Price/unit]]*Table1[[#This Row],[Units]]</f>
        <v>0.33</v>
      </c>
      <c r="J9" s="6" t="s">
        <v>175</v>
      </c>
      <c r="K9" s="1" t="s">
        <v>49</v>
      </c>
      <c r="L9" s="6" t="s">
        <v>17</v>
      </c>
    </row>
    <row r="10" spans="1:16" ht="15.75" thickBot="1" x14ac:dyDescent="0.3">
      <c r="A10" s="1"/>
      <c r="B10" s="7" t="s">
        <v>13</v>
      </c>
      <c r="C10" s="7" t="s">
        <v>12</v>
      </c>
      <c r="D10" s="8" t="str">
        <f>HYPERLINK("https://www.digikey.com/en/products/detail/samsung-electro-mechanics/CL31A106KBHNNNE/3888534?s=N4IgTCBcDaIIxgOwDYC0YAcLV1QOQBEQBdAXyA","Digikey")</f>
        <v>Digikey</v>
      </c>
      <c r="E10" s="1" t="s">
        <v>52</v>
      </c>
      <c r="F10" s="13">
        <v>2</v>
      </c>
      <c r="G10" s="1" t="s">
        <v>50</v>
      </c>
      <c r="H10" s="14">
        <v>0.36</v>
      </c>
      <c r="I10" s="14">
        <f>Table1[[#This Row],[Price/unit]]*Table1[[#This Row],[Units]]</f>
        <v>0.72</v>
      </c>
      <c r="J10" s="6" t="s">
        <v>175</v>
      </c>
      <c r="K10" s="1" t="s">
        <v>53</v>
      </c>
      <c r="L10" s="6" t="s">
        <v>17</v>
      </c>
    </row>
    <row r="11" spans="1:16" ht="15.75" thickBot="1" x14ac:dyDescent="0.3">
      <c r="A11" s="1"/>
      <c r="B11" s="7" t="s">
        <v>13</v>
      </c>
      <c r="C11" s="7" t="s">
        <v>12</v>
      </c>
      <c r="D11" s="8" t="str">
        <f>HYPERLINK("https://www.digikey.com/en/products/detail/samsung-electro-mechanics/CL31B105KBHNFNE/3888749?s=N4IgTCBcDaIIxgOwDYC0BmADATjqvAcgCIgC6AvkA","Digikey")</f>
        <v>Digikey</v>
      </c>
      <c r="E11" s="1" t="s">
        <v>56</v>
      </c>
      <c r="F11" s="13">
        <v>2</v>
      </c>
      <c r="G11" s="1" t="s">
        <v>54</v>
      </c>
      <c r="H11" s="14">
        <v>0.16</v>
      </c>
      <c r="I11" s="14">
        <f>Table1[[#This Row],[Price/unit]]*Table1[[#This Row],[Units]]</f>
        <v>0.32</v>
      </c>
      <c r="J11" s="6" t="s">
        <v>175</v>
      </c>
      <c r="K11" s="1" t="s">
        <v>57</v>
      </c>
      <c r="L11" s="6" t="s">
        <v>17</v>
      </c>
    </row>
    <row r="12" spans="1:16" ht="15.75" thickBot="1" x14ac:dyDescent="0.3">
      <c r="A12" s="1"/>
      <c r="B12" s="7" t="s">
        <v>13</v>
      </c>
      <c r="C12" s="7" t="s">
        <v>12</v>
      </c>
      <c r="D12" s="8" t="str">
        <f>HYPERLINK("https://www.digikey.com/en/products/detail/edac-inc/690-005-299-043/4312191?s=N4IgTCBcDaIIwFY4Fo5gAwDZXIHIBEQBdAXyA","Digikey")</f>
        <v>Digikey</v>
      </c>
      <c r="E12" s="1" t="s">
        <v>60</v>
      </c>
      <c r="F12" s="13">
        <v>1</v>
      </c>
      <c r="G12" s="1" t="s">
        <v>58</v>
      </c>
      <c r="H12" s="14">
        <v>0.54</v>
      </c>
      <c r="I12" s="14">
        <f>Table1[[#This Row],[Price/unit]]*Table1[[#This Row],[Units]]</f>
        <v>0.54</v>
      </c>
      <c r="J12" s="6" t="s">
        <v>175</v>
      </c>
      <c r="K12" s="1" t="s">
        <v>61</v>
      </c>
      <c r="L12" s="6" t="s">
        <v>17</v>
      </c>
    </row>
    <row r="13" spans="1:16" ht="15.75" thickBot="1" x14ac:dyDescent="0.3">
      <c r="A13" s="1"/>
      <c r="B13" s="7" t="s">
        <v>13</v>
      </c>
      <c r="C13" s="7" t="s">
        <v>12</v>
      </c>
      <c r="D13" s="8" t="str">
        <f>HYPERLINK("https://www.digikey.com/en/products/detail/amphenol-icc-fci/54602-908LF/1001360?s=N4IgTCBcDaIGwAYCcBaAjAgLHFA5AIiALoC%2BQA","Digikey")</f>
        <v>Digikey</v>
      </c>
      <c r="E13" s="1" t="s">
        <v>64</v>
      </c>
      <c r="F13" s="13">
        <v>6</v>
      </c>
      <c r="G13" s="1" t="s">
        <v>62</v>
      </c>
      <c r="H13" s="14">
        <v>0.66</v>
      </c>
      <c r="I13" s="14">
        <f>Table1[[#This Row],[Price/unit]]*Table1[[#This Row],[Units]]</f>
        <v>3.96</v>
      </c>
      <c r="J13" s="6" t="s">
        <v>175</v>
      </c>
      <c r="K13" s="1" t="s">
        <v>65</v>
      </c>
      <c r="L13" s="6" t="s">
        <v>17</v>
      </c>
    </row>
    <row r="14" spans="1:16" ht="15.75" thickBot="1" x14ac:dyDescent="0.3">
      <c r="A14" s="1"/>
      <c r="B14" s="7" t="s">
        <v>13</v>
      </c>
      <c r="C14" s="7" t="s">
        <v>12</v>
      </c>
      <c r="D14" s="8" t="str">
        <f>HYPERLINK("https://www.digikey.com/en/products/detail/on-semiconductor/MBT2222ADW1T1G/1477281?s=N4IgTCBcDaILICEAqZVgIIBEDqBGJuA4gPIDKAwkgLQBymIAugL5A","Digikey")</f>
        <v>Digikey</v>
      </c>
      <c r="E14" s="1" t="s">
        <v>68</v>
      </c>
      <c r="F14" s="13">
        <v>1</v>
      </c>
      <c r="G14" s="1" t="s">
        <v>66</v>
      </c>
      <c r="H14" s="14">
        <v>0.26</v>
      </c>
      <c r="I14" s="14">
        <f>Table1[[#This Row],[Price/unit]]*Table1[[#This Row],[Units]]</f>
        <v>0.26</v>
      </c>
      <c r="J14" s="6" t="s">
        <v>175</v>
      </c>
      <c r="K14" s="1" t="s">
        <v>69</v>
      </c>
      <c r="L14" s="6" t="s">
        <v>17</v>
      </c>
    </row>
    <row r="15" spans="1:16" ht="15.75" thickBot="1" x14ac:dyDescent="0.3">
      <c r="A15" s="1"/>
      <c r="B15" s="7" t="s">
        <v>13</v>
      </c>
      <c r="C15" s="7" t="s">
        <v>12</v>
      </c>
      <c r="D15" s="8" t="str">
        <f>HYPERLINK("https://www.digikey.com/en/products/detail/panasonic-electronic-components/ERJ-6GEYJ822V/83058?s=N4IgTCBcDaIAoA4B0YDSBBAwgFQLQDkAREAXQF8g","Digikey")</f>
        <v>Digikey</v>
      </c>
      <c r="E15" s="1" t="s">
        <v>72</v>
      </c>
      <c r="F15" s="13">
        <v>16</v>
      </c>
      <c r="G15" s="1" t="s">
        <v>70</v>
      </c>
      <c r="H15" s="14">
        <v>5.7000000000000002E-2</v>
      </c>
      <c r="I15" s="14">
        <f>Table1[[#This Row],[Price/unit]]*Table1[[#This Row],[Units]]</f>
        <v>0.91200000000000003</v>
      </c>
      <c r="J15" s="6" t="s">
        <v>175</v>
      </c>
      <c r="K15" s="1" t="s">
        <v>73</v>
      </c>
      <c r="L15" s="6" t="s">
        <v>17</v>
      </c>
    </row>
    <row r="16" spans="1:16" ht="15.75" thickBot="1" x14ac:dyDescent="0.3">
      <c r="A16" s="1"/>
      <c r="B16" s="7" t="s">
        <v>13</v>
      </c>
      <c r="C16" s="7" t="s">
        <v>12</v>
      </c>
      <c r="D16" s="8" t="str">
        <f>HYPERLINK("https://www.digikey.com/en/products/detail/vishay-dale/CRCW120622K1FKEA/1176795?s=N4IgTCBcDaIKwBYCMBaMYB0SDSAxAwgCooByAIiALoC%2BQA","Digikey")</f>
        <v>Digikey</v>
      </c>
      <c r="E16" s="1" t="s">
        <v>76</v>
      </c>
      <c r="F16" s="13">
        <v>1</v>
      </c>
      <c r="G16" s="1" t="s">
        <v>74</v>
      </c>
      <c r="H16" s="14">
        <v>0.1</v>
      </c>
      <c r="I16" s="14">
        <f>Table1[[#This Row],[Price/unit]]*Table1[[#This Row],[Units]]</f>
        <v>0.1</v>
      </c>
      <c r="J16" s="6" t="s">
        <v>175</v>
      </c>
      <c r="K16" s="1" t="s">
        <v>77</v>
      </c>
      <c r="L16" s="6" t="s">
        <v>17</v>
      </c>
    </row>
    <row r="17" spans="1:12" ht="15.75" thickBot="1" x14ac:dyDescent="0.3">
      <c r="A17" s="1"/>
      <c r="B17" s="7" t="s">
        <v>13</v>
      </c>
      <c r="C17" s="7" t="s">
        <v>12</v>
      </c>
      <c r="D17" s="8" t="str">
        <f>HYPERLINK("https://www.digikey.com/en/products/detail/stackpole-electronics-inc/RMCF1206FT47K5/1754043?s=N4IgTCBcDaIEoFkDCAxAjGADANhQFQBYB2AaQFYk8BaAOQBEQBdAXyA","Digikey")</f>
        <v>Digikey</v>
      </c>
      <c r="E17" s="1" t="s">
        <v>80</v>
      </c>
      <c r="F17" s="13">
        <v>1</v>
      </c>
      <c r="G17" s="1" t="s">
        <v>78</v>
      </c>
      <c r="H17" s="14">
        <v>0.1</v>
      </c>
      <c r="I17" s="14">
        <f>Table1[[#This Row],[Price/unit]]*Table1[[#This Row],[Units]]</f>
        <v>0.1</v>
      </c>
      <c r="J17" s="6" t="s">
        <v>175</v>
      </c>
      <c r="K17" s="1" t="s">
        <v>81</v>
      </c>
      <c r="L17" s="6" t="s">
        <v>17</v>
      </c>
    </row>
    <row r="18" spans="1:12" ht="15.75" thickBot="1" x14ac:dyDescent="0.3">
      <c r="A18" s="1"/>
      <c r="B18" s="7" t="s">
        <v>13</v>
      </c>
      <c r="C18" s="7" t="s">
        <v>12</v>
      </c>
      <c r="D18" s="8" t="str">
        <f>HYPERLINK("https://www.digikey.com/en/products/detail/stackpole-electronics-inc/RMCF0603FT4K70/1760998?s=N4IgTCBcDaIEoFkDCAxADANjQZhQFQBYBpAdjSTwFoA5AERAF0BfIA","Digikey")</f>
        <v>Digikey</v>
      </c>
      <c r="E18" s="1" t="s">
        <v>84</v>
      </c>
      <c r="F18" s="13">
        <v>1</v>
      </c>
      <c r="G18" s="1" t="s">
        <v>82</v>
      </c>
      <c r="H18" s="14">
        <v>0.1</v>
      </c>
      <c r="I18" s="14">
        <f>Table1[[#This Row],[Price/unit]]*Table1[[#This Row],[Units]]</f>
        <v>0.1</v>
      </c>
      <c r="J18" s="6" t="s">
        <v>175</v>
      </c>
      <c r="K18" s="1" t="s">
        <v>85</v>
      </c>
      <c r="L18" s="6" t="s">
        <v>17</v>
      </c>
    </row>
    <row r="19" spans="1:12" ht="15.75" thickBot="1" x14ac:dyDescent="0.3">
      <c r="A19" s="1"/>
      <c r="B19" s="7" t="s">
        <v>13</v>
      </c>
      <c r="C19" s="7" t="s">
        <v>12</v>
      </c>
      <c r="D19" s="8" t="str">
        <f>HYPERLINK("https://www.digikey.com/en/products/detail/te-connectivity-passive-product/CRGCQ0603J470R/8576691?s=N4IgTCBcDaIIIEYDMAGFAOAnAYQCoFoA5AERAF0BfIA","Digikey")</f>
        <v>Digikey</v>
      </c>
      <c r="E19" s="1" t="s">
        <v>88</v>
      </c>
      <c r="F19" s="13">
        <v>1</v>
      </c>
      <c r="G19" s="1" t="s">
        <v>86</v>
      </c>
      <c r="H19" s="14">
        <v>0.1</v>
      </c>
      <c r="I19" s="14">
        <f>Table1[[#This Row],[Price/unit]]*Table1[[#This Row],[Units]]</f>
        <v>0.1</v>
      </c>
      <c r="J19" s="6" t="s">
        <v>175</v>
      </c>
      <c r="K19" s="1" t="s">
        <v>89</v>
      </c>
      <c r="L19" s="6" t="s">
        <v>17</v>
      </c>
    </row>
    <row r="20" spans="1:12" ht="15.75" thickBot="1" x14ac:dyDescent="0.3">
      <c r="A20" s="1"/>
      <c r="B20" s="7" t="s">
        <v>13</v>
      </c>
      <c r="C20" s="7" t="s">
        <v>12</v>
      </c>
      <c r="D20" s="8" t="str">
        <f>HYPERLINK("https://www.digikey.com/en/products/detail/yageo/RC0603FR-07150RL/726958?s=N4IgTCBcDaIMwEYEFoEFYAMAJASgYQBVkA5AERAF0BfIA","Digikey")</f>
        <v>Digikey</v>
      </c>
      <c r="E20" s="1" t="s">
        <v>92</v>
      </c>
      <c r="F20" s="13">
        <v>1</v>
      </c>
      <c r="G20" s="1" t="s">
        <v>90</v>
      </c>
      <c r="H20" s="14">
        <v>0.1</v>
      </c>
      <c r="I20" s="14">
        <f>Table1[[#This Row],[Price/unit]]*Table1[[#This Row],[Units]]</f>
        <v>0.1</v>
      </c>
      <c r="J20" s="6" t="s">
        <v>175</v>
      </c>
      <c r="K20" s="1" t="s">
        <v>93</v>
      </c>
      <c r="L20" s="6" t="s">
        <v>17</v>
      </c>
    </row>
    <row r="21" spans="1:12" ht="15.75" thickBot="1" x14ac:dyDescent="0.3">
      <c r="A21" s="1"/>
      <c r="B21" s="7" t="s">
        <v>13</v>
      </c>
      <c r="C21" s="7" t="s">
        <v>12</v>
      </c>
      <c r="D21" s="8" t="str">
        <f>HYPERLINK("https://www.digikey.com/en/products/detail/te-connectivity-alcoswitch-switches/1825910-6/1632536","Digikey")</f>
        <v>Digikey</v>
      </c>
      <c r="E21" s="1" t="s">
        <v>180</v>
      </c>
      <c r="F21" s="13">
        <v>2</v>
      </c>
      <c r="G21" s="1" t="s">
        <v>181</v>
      </c>
      <c r="H21" s="14">
        <v>0.1</v>
      </c>
      <c r="I21" s="14">
        <f>Table1[[#This Row],[Price/unit]]*Table1[[#This Row],[Units]]</f>
        <v>0.2</v>
      </c>
      <c r="J21" s="6" t="s">
        <v>175</v>
      </c>
      <c r="K21" s="1" t="s">
        <v>97</v>
      </c>
      <c r="L21" s="6" t="s">
        <v>17</v>
      </c>
    </row>
    <row r="22" spans="1:12" ht="15.75" thickBot="1" x14ac:dyDescent="0.3">
      <c r="A22" s="1"/>
      <c r="B22" s="7" t="s">
        <v>13</v>
      </c>
      <c r="C22" s="7" t="s">
        <v>12</v>
      </c>
      <c r="D22" s="8" t="str">
        <f>HYPERLINK("https://www.digikey.com/en/products/detail/texas-instruments/LM1117MPX-ADJ-NOPB/304884?s=N4IgTCBcDaIDIFkCMKDsCAKANAtAQQBEApAegDkB5DAIQGEAVHMgkAXQF8g","Digikey")</f>
        <v>Digikey</v>
      </c>
      <c r="E22" s="1" t="s">
        <v>100</v>
      </c>
      <c r="F22" s="13">
        <v>1</v>
      </c>
      <c r="G22" s="1" t="s">
        <v>98</v>
      </c>
      <c r="H22" s="14">
        <v>1.17</v>
      </c>
      <c r="I22" s="14">
        <f>Table1[[#This Row],[Price/unit]]*Table1[[#This Row],[Units]]</f>
        <v>1.17</v>
      </c>
      <c r="J22" s="6" t="s">
        <v>175</v>
      </c>
      <c r="K22" s="1" t="s">
        <v>101</v>
      </c>
      <c r="L22" s="6" t="s">
        <v>17</v>
      </c>
    </row>
    <row r="23" spans="1:12" ht="15.75" thickBot="1" x14ac:dyDescent="0.3">
      <c r="A23" s="1"/>
      <c r="B23" s="7" t="s">
        <v>13</v>
      </c>
      <c r="C23" s="7" t="s">
        <v>12</v>
      </c>
      <c r="D23" s="8" t="str">
        <f>HYPERLINK("https://www.digikey.com/en/products/detail/texas-instruments/LMZM23601V5SILR/9692648?s=N4IgTCBcDa4JwDYC0AZAsgLTWAzAgDAIwBqArAMoCSKASgMIAqSAcgCIgC6AvkA","Digikey")</f>
        <v>Digikey</v>
      </c>
      <c r="E23" s="1" t="s">
        <v>104</v>
      </c>
      <c r="F23" s="13">
        <v>1</v>
      </c>
      <c r="G23" s="1" t="s">
        <v>102</v>
      </c>
      <c r="H23" s="14">
        <v>5.69</v>
      </c>
      <c r="I23" s="14">
        <f>Table1[[#This Row],[Price/unit]]*Table1[[#This Row],[Units]]</f>
        <v>5.69</v>
      </c>
      <c r="J23" s="6" t="s">
        <v>175</v>
      </c>
      <c r="K23" s="1" t="s">
        <v>105</v>
      </c>
      <c r="L23" s="6" t="s">
        <v>17</v>
      </c>
    </row>
    <row r="24" spans="1:12" ht="15.75" thickBot="1" x14ac:dyDescent="0.3">
      <c r="A24" s="1"/>
      <c r="B24" s="7" t="s">
        <v>13</v>
      </c>
      <c r="C24" s="7" t="s">
        <v>12</v>
      </c>
      <c r="D24" s="8" t="str">
        <f>HYPERLINK("https://www.digikey.com/en/products/detail/texas-instruments/SN74AHCT595D/528599?s=N4IgTCBcDa4JwDYC0BGALAZgAwA4kFYkA5AERAF0BfIA","Digikey")</f>
        <v>Digikey</v>
      </c>
      <c r="E24" s="1" t="s">
        <v>108</v>
      </c>
      <c r="F24" s="13">
        <v>3</v>
      </c>
      <c r="G24" s="1" t="s">
        <v>106</v>
      </c>
      <c r="H24" s="14">
        <v>0.69</v>
      </c>
      <c r="I24" s="14">
        <f>Table1[[#This Row],[Price/unit]]*Table1[[#This Row],[Units]]</f>
        <v>2.0699999999999998</v>
      </c>
      <c r="J24" s="6" t="s">
        <v>175</v>
      </c>
      <c r="K24" s="1" t="s">
        <v>109</v>
      </c>
      <c r="L24" s="6" t="s">
        <v>17</v>
      </c>
    </row>
    <row r="25" spans="1:12" ht="15.75" thickBot="1" x14ac:dyDescent="0.3">
      <c r="A25" s="1"/>
      <c r="B25" s="7" t="s">
        <v>13</v>
      </c>
      <c r="C25" s="7" t="s">
        <v>12</v>
      </c>
      <c r="D25" s="8" t="str">
        <f>HYPERLINK("https://www.digikey.com/en/products/detail/silicon-labs/CP2102N-A02-GQFN28R/9863480?s=N4IgTCBcDaIMxwGwFoCsAOAnABmQRmQDkAREAXQF8g","Digikey")</f>
        <v>Digikey</v>
      </c>
      <c r="E25" s="1" t="s">
        <v>112</v>
      </c>
      <c r="F25" s="13">
        <v>1</v>
      </c>
      <c r="G25" s="1" t="s">
        <v>110</v>
      </c>
      <c r="H25" s="14">
        <v>1.47</v>
      </c>
      <c r="I25" s="14">
        <f>Table1[[#This Row],[Price/unit]]*Table1[[#This Row],[Units]]</f>
        <v>1.47</v>
      </c>
      <c r="J25" s="6" t="s">
        <v>175</v>
      </c>
      <c r="K25" s="1" t="s">
        <v>113</v>
      </c>
      <c r="L25" s="6" t="s">
        <v>17</v>
      </c>
    </row>
    <row r="26" spans="1:12" ht="15.75" thickBot="1" x14ac:dyDescent="0.3">
      <c r="A26" s="1"/>
      <c r="B26" s="7" t="s">
        <v>13</v>
      </c>
      <c r="C26" s="7" t="s">
        <v>12</v>
      </c>
      <c r="D26" s="8" t="str">
        <f>HYPERLINK("https://www.digikey.com/en/products/detail/on-semiconductor/SBR80520LT1G/3062667?s=N4IgTCBcDaIMoCEBKAOADAVjGgMgFQEYBxAeTgGE8BaAOQBEQBdAXyA","Digikey")</f>
        <v>Digikey</v>
      </c>
      <c r="E26" s="1" t="s">
        <v>116</v>
      </c>
      <c r="F26" s="13">
        <v>2</v>
      </c>
      <c r="G26" s="1" t="s">
        <v>114</v>
      </c>
      <c r="H26" s="14">
        <v>0.44</v>
      </c>
      <c r="I26" s="14">
        <f>Table1[[#This Row],[Price/unit]]*Table1[[#This Row],[Units]]</f>
        <v>0.88</v>
      </c>
      <c r="J26" s="6" t="s">
        <v>175</v>
      </c>
      <c r="K26" s="1" t="s">
        <v>117</v>
      </c>
      <c r="L26" s="6" t="s">
        <v>17</v>
      </c>
    </row>
    <row r="27" spans="1:12" ht="15.75" thickBot="1" x14ac:dyDescent="0.3">
      <c r="A27" s="1"/>
      <c r="B27" s="7" t="s">
        <v>13</v>
      </c>
      <c r="C27" s="7" t="s">
        <v>12</v>
      </c>
      <c r="D27" s="8" t="str">
        <f>HYPERLINK("https://www.digikey.com/en/products/detail/lite-on-inc/LTST-C193TBKT-5A/2053656?s=N4IgTCBcDaIIwDYAMBaOAOMB2NKByAIiALoC%2BQA","Digikey")</f>
        <v>Digikey</v>
      </c>
      <c r="E27" s="1" t="s">
        <v>120</v>
      </c>
      <c r="F27" s="13">
        <v>10</v>
      </c>
      <c r="G27" s="1" t="s">
        <v>118</v>
      </c>
      <c r="H27" s="14">
        <v>0.42199999999999999</v>
      </c>
      <c r="I27" s="14">
        <f>Table1[[#This Row],[Price/unit]]*Table1[[#This Row],[Units]]</f>
        <v>4.22</v>
      </c>
      <c r="J27" s="6" t="s">
        <v>175</v>
      </c>
      <c r="K27" s="1" t="s">
        <v>121</v>
      </c>
      <c r="L27" s="6" t="s">
        <v>17</v>
      </c>
    </row>
    <row r="28" spans="1:12" ht="15.75" thickBot="1" x14ac:dyDescent="0.3">
      <c r="A28" s="1"/>
      <c r="B28" s="7" t="s">
        <v>13</v>
      </c>
      <c r="C28" s="7" t="s">
        <v>12</v>
      </c>
      <c r="D28" s="8" t="str">
        <f t="shared" si="0"/>
        <v>Digikey</v>
      </c>
      <c r="E28" s="1" t="s">
        <v>40</v>
      </c>
      <c r="F28" s="13">
        <v>10</v>
      </c>
      <c r="G28" s="1" t="s">
        <v>38</v>
      </c>
      <c r="H28" s="14">
        <v>0.23400000000000001</v>
      </c>
      <c r="I28" s="14">
        <f>Table1[[#This Row],[Price/unit]]*Table1[[#This Row],[Units]]</f>
        <v>2.3400000000000003</v>
      </c>
      <c r="J28" s="1" t="s">
        <v>176</v>
      </c>
      <c r="K28" s="1" t="s">
        <v>122</v>
      </c>
      <c r="L28" s="6" t="s">
        <v>17</v>
      </c>
    </row>
    <row r="29" spans="1:12" ht="15.75" thickBot="1" x14ac:dyDescent="0.3">
      <c r="A29" s="1"/>
      <c r="B29" s="7" t="s">
        <v>13</v>
      </c>
      <c r="C29" s="7" t="s">
        <v>12</v>
      </c>
      <c r="D29" s="8" t="str">
        <f>HYPERLINK("https://www.digikey.com/en/products/detail/samsung-electro-mechanics/CL31A106KBHNNNE/3888534?s=N4IgTCBcDaIIxgOwDYC0YAcLV1QOQBEQBdAXyA","Digikey")</f>
        <v>Digikey</v>
      </c>
      <c r="E29" s="1" t="s">
        <v>52</v>
      </c>
      <c r="F29" s="13">
        <v>25</v>
      </c>
      <c r="G29" s="1" t="s">
        <v>50</v>
      </c>
      <c r="H29" s="14">
        <v>0.247</v>
      </c>
      <c r="I29" s="14">
        <f>Table1[[#This Row],[Price/unit]]*Table1[[#This Row],[Units]]</f>
        <v>6.1749999999999998</v>
      </c>
      <c r="J29" s="1" t="s">
        <v>176</v>
      </c>
      <c r="K29" s="1" t="s">
        <v>123</v>
      </c>
      <c r="L29" s="6" t="s">
        <v>17</v>
      </c>
    </row>
    <row r="30" spans="1:12" ht="15.75" thickBot="1" x14ac:dyDescent="0.3">
      <c r="A30" s="1"/>
      <c r="B30" s="7" t="s">
        <v>13</v>
      </c>
      <c r="C30" s="7" t="s">
        <v>12</v>
      </c>
      <c r="D30" s="8" t="str">
        <f>HYPERLINK("https://www.digikey.com/en/products/detail/samsung-electro-mechanics/CL31B475KBHNNNE/3888447?s=N4IgTCBcDaIIxgOwDYC0SAcBOVdUDkAREAXQF8g","Digikey")</f>
        <v>Digikey</v>
      </c>
      <c r="E30" s="1" t="s">
        <v>126</v>
      </c>
      <c r="F30" s="13">
        <v>5</v>
      </c>
      <c r="G30" s="1" t="s">
        <v>124</v>
      </c>
      <c r="H30" s="14">
        <v>0.36</v>
      </c>
      <c r="I30" s="14">
        <f>Table1[[#This Row],[Price/unit]]*Table1[[#This Row],[Units]]</f>
        <v>1.7999999999999998</v>
      </c>
      <c r="J30" s="1" t="s">
        <v>176</v>
      </c>
      <c r="K30" s="1" t="s">
        <v>127</v>
      </c>
      <c r="L30" s="6" t="s">
        <v>17</v>
      </c>
    </row>
    <row r="31" spans="1:12" ht="15.75" thickBot="1" x14ac:dyDescent="0.3">
      <c r="A31" s="1"/>
      <c r="B31" s="7" t="s">
        <v>13</v>
      </c>
      <c r="C31" s="7" t="s">
        <v>12</v>
      </c>
      <c r="D31" s="8" t="str">
        <f>HYPERLINK("https://www.digikey.com/en/products/detail/amphenol-icc-fci/54602-908LF/1001360?s=N4IgTCBcDaIGwAYCcBaAjAgLHFA5AIiALoC%2BQA","Digikey")</f>
        <v>Digikey</v>
      </c>
      <c r="E31" s="1" t="s">
        <v>64</v>
      </c>
      <c r="F31" s="13">
        <v>5</v>
      </c>
      <c r="G31" s="1" t="s">
        <v>62</v>
      </c>
      <c r="H31" s="14">
        <v>0.66</v>
      </c>
      <c r="I31" s="14">
        <f>Table1[[#This Row],[Price/unit]]*Table1[[#This Row],[Units]]</f>
        <v>3.3000000000000003</v>
      </c>
      <c r="J31" s="1" t="s">
        <v>176</v>
      </c>
      <c r="K31" s="1" t="s">
        <v>128</v>
      </c>
      <c r="L31" s="6" t="s">
        <v>17</v>
      </c>
    </row>
    <row r="32" spans="1:12" ht="15.75" thickBot="1" x14ac:dyDescent="0.3">
      <c r="A32" s="1"/>
      <c r="B32" s="7" t="s">
        <v>13</v>
      </c>
      <c r="C32" s="7" t="s">
        <v>12</v>
      </c>
      <c r="D32" s="8" t="str">
        <f>HYPERLINK("https://www.digikey.com/en/products/detail/te-connectivity-amp-connectors/1705950-1/5123995","Digikey")</f>
        <v>Digikey</v>
      </c>
      <c r="E32" s="1" t="s">
        <v>178</v>
      </c>
      <c r="F32" s="13">
        <v>5</v>
      </c>
      <c r="G32" s="1" t="s">
        <v>179</v>
      </c>
      <c r="H32" s="14">
        <v>0.92</v>
      </c>
      <c r="I32" s="14">
        <f>Table1[[#This Row],[Price/unit]]*Table1[[#This Row],[Units]]</f>
        <v>4.6000000000000005</v>
      </c>
      <c r="J32" s="1" t="s">
        <v>176</v>
      </c>
      <c r="K32" s="1" t="s">
        <v>132</v>
      </c>
      <c r="L32" s="6" t="s">
        <v>17</v>
      </c>
    </row>
    <row r="33" spans="1:12" ht="15.75" thickBot="1" x14ac:dyDescent="0.3">
      <c r="A33" s="1"/>
      <c r="B33" s="7" t="s">
        <v>13</v>
      </c>
      <c r="C33" s="7" t="s">
        <v>12</v>
      </c>
      <c r="D33" s="8" t="str">
        <f>HYPERLINK("https://www.digikey.com/en/products/detail/on-shore-technology-inc/OSTTE040161/614586?s=N4IgTCBcDaIKIBEwDYDMB2AtAOQSAugL5A","Digikey")</f>
        <v>Digikey</v>
      </c>
      <c r="E33" s="1" t="s">
        <v>135</v>
      </c>
      <c r="F33" s="13">
        <v>5</v>
      </c>
      <c r="G33" s="1" t="s">
        <v>133</v>
      </c>
      <c r="H33" s="14">
        <v>1.02</v>
      </c>
      <c r="I33" s="14">
        <f>Table1[[#This Row],[Price/unit]]*Table1[[#This Row],[Units]]</f>
        <v>5.0999999999999996</v>
      </c>
      <c r="J33" s="1" t="s">
        <v>176</v>
      </c>
      <c r="K33" s="1" t="s">
        <v>136</v>
      </c>
      <c r="L33" s="6" t="s">
        <v>17</v>
      </c>
    </row>
    <row r="34" spans="1:12" ht="15.75" thickBot="1" x14ac:dyDescent="0.3">
      <c r="A34" s="1"/>
      <c r="B34" s="7" t="s">
        <v>13</v>
      </c>
      <c r="C34" s="7" t="s">
        <v>12</v>
      </c>
      <c r="D34" s="8" t="str">
        <f>HYPERLINK("https://www.digikey.com/en/products/detail/panasonic-electronic-components/ERJ-6DSFR11V/6004392?s=N4IgTCBcDaIAoEYCcBmADEgwgFQLQDkAREAXQF8g","Digikey")</f>
        <v>Digikey</v>
      </c>
      <c r="E34" s="1" t="s">
        <v>139</v>
      </c>
      <c r="F34" s="13">
        <v>10</v>
      </c>
      <c r="G34" s="1" t="s">
        <v>137</v>
      </c>
      <c r="H34" s="14">
        <v>0.32100000000000001</v>
      </c>
      <c r="I34" s="14">
        <f>Table1[[#This Row],[Price/unit]]*Table1[[#This Row],[Units]]</f>
        <v>3.21</v>
      </c>
      <c r="J34" s="1" t="s">
        <v>176</v>
      </c>
      <c r="K34" s="1" t="s">
        <v>140</v>
      </c>
      <c r="L34" s="6" t="s">
        <v>17</v>
      </c>
    </row>
    <row r="35" spans="1:12" ht="15.75" thickBot="1" x14ac:dyDescent="0.3">
      <c r="A35" s="1"/>
      <c r="B35" s="7" t="s">
        <v>13</v>
      </c>
      <c r="C35" s="7" t="s">
        <v>12</v>
      </c>
      <c r="D35" s="8" t="str">
        <f>HYPERLINK("https://www.digikey.com/en/products/detail/yageo/RC0603FR-0720KL/727040?s=N4IgTCBcDaIMwEYEFowAYB0aDSAJASgMIAqyAcgCIgC6AvkA","Digikey")</f>
        <v>Digikey</v>
      </c>
      <c r="E35" s="1" t="s">
        <v>143</v>
      </c>
      <c r="F35" s="13">
        <v>30</v>
      </c>
      <c r="G35" s="1" t="s">
        <v>141</v>
      </c>
      <c r="H35" s="14">
        <v>2.4E-2</v>
      </c>
      <c r="I35" s="14">
        <f>Table1[[#This Row],[Price/unit]]*Table1[[#This Row],[Units]]</f>
        <v>0.72</v>
      </c>
      <c r="J35" s="1" t="s">
        <v>176</v>
      </c>
      <c r="K35" s="1" t="s">
        <v>144</v>
      </c>
      <c r="L35" s="6" t="s">
        <v>17</v>
      </c>
    </row>
    <row r="36" spans="1:12" ht="15.75" thickBot="1" x14ac:dyDescent="0.3">
      <c r="A36" s="1"/>
      <c r="B36" s="7" t="s">
        <v>13</v>
      </c>
      <c r="C36" s="7" t="s">
        <v>12</v>
      </c>
      <c r="D36" s="8" t="str">
        <f>HYPERLINK("https://www.digikey.com/en/products/detail/bourns-inc/TC33X-1-203E/2566872","Digikey")</f>
        <v>Digikey</v>
      </c>
      <c r="E36" s="1" t="s">
        <v>147</v>
      </c>
      <c r="F36" s="13">
        <v>5</v>
      </c>
      <c r="G36" s="1" t="s">
        <v>162</v>
      </c>
      <c r="H36" s="14">
        <v>0.26</v>
      </c>
      <c r="I36" s="14">
        <f>Table1[[#This Row],[Price/unit]]*Table1[[#This Row],[Units]]</f>
        <v>1.3</v>
      </c>
      <c r="J36" s="1" t="s">
        <v>176</v>
      </c>
      <c r="K36" s="1" t="s">
        <v>148</v>
      </c>
      <c r="L36" s="6" t="s">
        <v>17</v>
      </c>
    </row>
    <row r="37" spans="1:12" ht="15.75" thickBot="1" x14ac:dyDescent="0.3">
      <c r="A37" s="1"/>
      <c r="B37" s="7" t="s">
        <v>13</v>
      </c>
      <c r="C37" s="7" t="s">
        <v>12</v>
      </c>
      <c r="D37" s="8" t="str">
        <f>HYPERLINK("https://www.digikey.com/en/products/detail/texas-instruments/LMZM23601V5SILR/9692648?s=N4IgTCBcDa4JwDYC0AZAsgLTWAzAgDAIwBqArAMoCSKASgMIAqSAcgCIgC6AvkA","Digikey")</f>
        <v>Digikey</v>
      </c>
      <c r="E37" s="1" t="s">
        <v>104</v>
      </c>
      <c r="F37" s="13">
        <v>5</v>
      </c>
      <c r="G37" s="1" t="s">
        <v>102</v>
      </c>
      <c r="H37" s="14">
        <v>5.69</v>
      </c>
      <c r="I37" s="14">
        <f>Table1[[#This Row],[Price/unit]]*Table1[[#This Row],[Units]]</f>
        <v>28.450000000000003</v>
      </c>
      <c r="J37" s="1" t="s">
        <v>176</v>
      </c>
      <c r="K37" s="1" t="s">
        <v>149</v>
      </c>
      <c r="L37" s="6" t="s">
        <v>17</v>
      </c>
    </row>
    <row r="38" spans="1:12" ht="15.75" thickBot="1" x14ac:dyDescent="0.3">
      <c r="A38" s="1"/>
      <c r="B38" s="7" t="s">
        <v>13</v>
      </c>
      <c r="C38" s="7" t="s">
        <v>12</v>
      </c>
      <c r="D38" s="8" t="str">
        <f>HYPERLINK("https://www.digikey.com/en/products/detail/te-connectivity-alcoswitch-switches/1-1825059-2/2400418?s=N4IgTCBcDaICwFYAMBaAjAdgJyrSgcgCIgC6AvkA","Digikey")</f>
        <v>Digikey</v>
      </c>
      <c r="E38" s="1" t="s">
        <v>96</v>
      </c>
      <c r="F38" s="13">
        <v>5</v>
      </c>
      <c r="G38" s="1" t="s">
        <v>94</v>
      </c>
      <c r="H38" s="14">
        <v>1.54</v>
      </c>
      <c r="I38" s="14">
        <f>Table1[[#This Row],[Price/unit]]*Table1[[#This Row],[Units]]</f>
        <v>7.7</v>
      </c>
      <c r="J38" s="1" t="s">
        <v>176</v>
      </c>
      <c r="K38" s="1" t="s">
        <v>150</v>
      </c>
      <c r="L38" s="6" t="s">
        <v>17</v>
      </c>
    </row>
    <row r="39" spans="1:12" ht="15.75" thickBot="1" x14ac:dyDescent="0.3">
      <c r="A39" s="1"/>
      <c r="B39" s="7" t="s">
        <v>13</v>
      </c>
      <c r="C39" s="7" t="s">
        <v>12</v>
      </c>
      <c r="D39" s="8" t="str">
        <f>HYPERLINK("https://www.digikey.com/en/products/detail/on-semiconductor/SBR80520LT1G/3062667?s=N4IgTCBcDaIMoCEBKAOADAVjGgMgFQEYBxAeTgGE8BaAOQBEQBdAXyA","Digikey")</f>
        <v>Digikey</v>
      </c>
      <c r="E39" s="1" t="s">
        <v>116</v>
      </c>
      <c r="F39" s="13">
        <v>10</v>
      </c>
      <c r="G39" s="1" t="s">
        <v>114</v>
      </c>
      <c r="H39" s="14">
        <v>0.38</v>
      </c>
      <c r="I39" s="14">
        <f>Table1[[#This Row],[Price/unit]]*Table1[[#This Row],[Units]]</f>
        <v>3.8</v>
      </c>
      <c r="J39" s="1" t="s">
        <v>176</v>
      </c>
      <c r="K39" s="1" t="s">
        <v>151</v>
      </c>
      <c r="L39" s="6" t="s">
        <v>17</v>
      </c>
    </row>
    <row r="40" spans="1:12" ht="15.75" thickBot="1" x14ac:dyDescent="0.3">
      <c r="A40" s="1"/>
      <c r="B40" s="7" t="s">
        <v>13</v>
      </c>
      <c r="C40" s="7" t="s">
        <v>12</v>
      </c>
      <c r="D40" s="8" t="str">
        <f>HYPERLINK("https://www.digikey.com/en/products/detail/samsung-electro-mechanics/CL10B104JB8NNNC/3886691?s=N4IgTCBcDaIIxgOwDYC0cAMBmL7UDkAREAXQF8g","Digikey")</f>
        <v>Digikey</v>
      </c>
      <c r="E40" s="1" t="s">
        <v>154</v>
      </c>
      <c r="F40" s="13">
        <v>50</v>
      </c>
      <c r="G40" s="1" t="s">
        <v>152</v>
      </c>
      <c r="H40" s="14">
        <v>2.3800000000000002E-2</v>
      </c>
      <c r="I40" s="14">
        <f>Table1[[#This Row],[Price/unit]]*Table1[[#This Row],[Units]]</f>
        <v>1.1900000000000002</v>
      </c>
      <c r="J40" s="1" t="s">
        <v>176</v>
      </c>
      <c r="K40" s="1" t="s">
        <v>155</v>
      </c>
      <c r="L40" s="6" t="s">
        <v>17</v>
      </c>
    </row>
    <row r="41" spans="1:12" ht="15.75" thickBot="1" x14ac:dyDescent="0.3">
      <c r="A41" s="1"/>
      <c r="B41" s="7" t="s">
        <v>13</v>
      </c>
      <c r="C41" s="7" t="s">
        <v>12</v>
      </c>
      <c r="D41" s="8" t="str">
        <f>HYPERLINK("https://www.digikey.com/en/products/detail/walsin-technology-corporation/0603B223K500CT/9354914?s=N4IgTCBcDaIIxgJxgLRwCxwOxpQOQBEQBdAXyA","Digikey")</f>
        <v>Digikey</v>
      </c>
      <c r="E41" s="1" t="s">
        <v>158</v>
      </c>
      <c r="F41" s="13">
        <v>10</v>
      </c>
      <c r="G41" s="1" t="s">
        <v>156</v>
      </c>
      <c r="H41" s="14">
        <v>3.6999999999999998E-2</v>
      </c>
      <c r="I41" s="14">
        <f>Table1[[#This Row],[Price/unit]]*Table1[[#This Row],[Units]]</f>
        <v>0.37</v>
      </c>
      <c r="J41" s="1" t="s">
        <v>176</v>
      </c>
      <c r="K41" s="1" t="s">
        <v>159</v>
      </c>
      <c r="L41" s="6" t="s">
        <v>17</v>
      </c>
    </row>
    <row r="42" spans="1:12" ht="15.75" thickBot="1" x14ac:dyDescent="0.3">
      <c r="A42" s="1"/>
      <c r="B42" s="7" t="s">
        <v>13</v>
      </c>
      <c r="C42" s="7" t="s">
        <v>12</v>
      </c>
      <c r="D42" s="8" t="str">
        <f>HYPERLINK("https://www.digikey.com/en/products/detail/stackpole-electronics-inc/RMCF0603FT4K70/1760998?s=N4IgTCBcDaIEoFkDCAxADANjQZhQFQBYBpAdjSTwFoA5AERAF0BfIA","Digikey")</f>
        <v>Digikey</v>
      </c>
      <c r="E42" s="1" t="s">
        <v>84</v>
      </c>
      <c r="F42" s="13">
        <v>10</v>
      </c>
      <c r="G42" s="1" t="s">
        <v>82</v>
      </c>
      <c r="H42" s="14">
        <v>1.7000000000000001E-2</v>
      </c>
      <c r="I42" s="14">
        <f>Table1[[#This Row],[Price/unit]]*Table1[[#This Row],[Units]]</f>
        <v>0.17</v>
      </c>
      <c r="J42" s="1" t="s">
        <v>176</v>
      </c>
      <c r="K42" s="1" t="s">
        <v>160</v>
      </c>
      <c r="L42" s="6" t="s">
        <v>17</v>
      </c>
    </row>
    <row r="43" spans="1:12" ht="15.75" thickBot="1" x14ac:dyDescent="0.3">
      <c r="A43" s="1"/>
      <c r="B43" s="7" t="s">
        <v>13</v>
      </c>
      <c r="C43" s="7" t="s">
        <v>12</v>
      </c>
      <c r="D43" s="8" t="str">
        <f>HYPERLINK("https://www.digikey.com/en/products/detail/te-connectivity-passive-product/CRGCQ0603J470R/8576691?s=N4IgTCBcDaIIIEYDMAGFAOAnAYQCoFoA5AERAF0BfIA","Digikey")</f>
        <v>Digikey</v>
      </c>
      <c r="E43" s="1" t="s">
        <v>88</v>
      </c>
      <c r="F43" s="13">
        <v>10</v>
      </c>
      <c r="G43" s="1" t="s">
        <v>86</v>
      </c>
      <c r="H43" s="14">
        <v>2.1000000000000001E-2</v>
      </c>
      <c r="I43" s="14">
        <f>Table1[[#This Row],[Price/unit]]*Table1[[#This Row],[Units]]</f>
        <v>0.21000000000000002</v>
      </c>
      <c r="J43" s="1" t="s">
        <v>176</v>
      </c>
      <c r="K43" s="1" t="s">
        <v>161</v>
      </c>
      <c r="L43" s="6" t="s">
        <v>17</v>
      </c>
    </row>
    <row r="44" spans="1:12" ht="15.75" thickBot="1" x14ac:dyDescent="0.3">
      <c r="A44" s="1"/>
      <c r="B44" s="7" t="s">
        <v>13</v>
      </c>
      <c r="C44" s="7" t="s">
        <v>12</v>
      </c>
      <c r="D44" s="8" t="str">
        <f>HYPERLINK("https://www.digikey.com/en/products/detail/littelfuse-inc/59145-040/4771993?s=N4IgTCBcDaIBIFEBsYDsBaAcgERAXQF8g","Digikey")</f>
        <v>Digikey</v>
      </c>
      <c r="E44" s="1" t="s">
        <v>166</v>
      </c>
      <c r="F44" s="13">
        <v>4</v>
      </c>
      <c r="G44" s="1" t="s">
        <v>164</v>
      </c>
      <c r="H44" s="14">
        <v>4.5</v>
      </c>
      <c r="I44" s="14">
        <f>Table1[[#This Row],[Price/unit]]*Table1[[#This Row],[Units]]</f>
        <v>18</v>
      </c>
      <c r="J44" s="1" t="s">
        <v>176</v>
      </c>
      <c r="K44" s="1" t="s">
        <v>167</v>
      </c>
      <c r="L44" s="6" t="s">
        <v>17</v>
      </c>
    </row>
    <row r="45" spans="1:12" ht="15.75" thickBot="1" x14ac:dyDescent="0.3">
      <c r="A45" s="1"/>
      <c r="B45" s="7" t="s">
        <v>13</v>
      </c>
      <c r="C45" s="7" t="s">
        <v>12</v>
      </c>
      <c r="D45" s="8" t="str">
        <f>HYPERLINK("https://www.digikey.com/en/products/detail/littelfuse-inc/57145-000/43980?s=N4IgTCBcDaIKwHYCMAWOBaADN9A5AIiALoC%2BQA","Digikey")</f>
        <v>Digikey</v>
      </c>
      <c r="E45" s="1" t="s">
        <v>170</v>
      </c>
      <c r="F45" s="13">
        <v>4</v>
      </c>
      <c r="G45" s="1" t="s">
        <v>168</v>
      </c>
      <c r="H45" s="14">
        <v>2.75</v>
      </c>
      <c r="I45" s="14">
        <f>Table1[[#This Row],[Price/unit]]*Table1[[#This Row],[Units]]</f>
        <v>11</v>
      </c>
      <c r="J45" s="1" t="s">
        <v>176</v>
      </c>
      <c r="K45" s="1" t="s">
        <v>171</v>
      </c>
      <c r="L45" s="6" t="s">
        <v>17</v>
      </c>
    </row>
    <row r="46" spans="1:12" x14ac:dyDescent="0.25">
      <c r="A46" s="1"/>
      <c r="B46" s="7" t="s">
        <v>13</v>
      </c>
      <c r="C46" s="7" t="s">
        <v>12</v>
      </c>
      <c r="D46" s="8" t="str">
        <f>HYPERLINK("https://www.digikey.com/en/products/detail/chip-quik-inc/NC191SNL50/11480385?s=N4IgTCBcDaIMwEYCsBaAcgYQQTgQZTQBkkAGdAERAF0BfIA","Digikey")</f>
        <v>Digikey</v>
      </c>
      <c r="E46" s="1" t="s">
        <v>174</v>
      </c>
      <c r="F46" s="13">
        <v>1</v>
      </c>
      <c r="G46" s="1" t="s">
        <v>172</v>
      </c>
      <c r="H46" s="14">
        <v>13.95</v>
      </c>
      <c r="I46" s="14">
        <f>Table1[[#This Row],[Price/unit]]*Table1[[#This Row],[Units]]</f>
        <v>13.95</v>
      </c>
      <c r="J46" s="1" t="s">
        <v>177</v>
      </c>
      <c r="K46" s="1"/>
      <c r="L46" s="6" t="s">
        <v>17</v>
      </c>
    </row>
  </sheetData>
  <hyperlinks>
    <hyperlink ref="D2" r:id="rId1" display="https://www.amazon.com/gp/product/B004ZIENBA/ref=ox_sc_act_title_1?smid=ATVPDKIKX0DER&amp;psc=1" xr:uid="{886F4737-18E3-45D7-B98D-49738C1AE30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1101-6ACA-42CB-993D-A04A1D8D1322}">
  <dimension ref="A1:S42"/>
  <sheetViews>
    <sheetView tabSelected="1" workbookViewId="0">
      <selection activeCell="E9" sqref="E9"/>
    </sheetView>
  </sheetViews>
  <sheetFormatPr defaultRowHeight="15" x14ac:dyDescent="0.25"/>
  <cols>
    <col min="1" max="1" width="8.28515625" style="16" bestFit="1" customWidth="1"/>
    <col min="2" max="2" width="11" style="16" bestFit="1" customWidth="1"/>
    <col min="3" max="3" width="30" style="16" bestFit="1" customWidth="1"/>
    <col min="4" max="4" width="27.5703125" style="16" bestFit="1" customWidth="1"/>
    <col min="5" max="5" width="36" style="16" bestFit="1" customWidth="1"/>
    <col min="6" max="6" width="40.7109375" style="16" bestFit="1" customWidth="1"/>
    <col min="7" max="7" width="11.5703125" style="16" bestFit="1" customWidth="1"/>
    <col min="8" max="8" width="12.140625" style="16" bestFit="1" customWidth="1"/>
    <col min="9" max="9" width="12" style="16" bestFit="1" customWidth="1"/>
    <col min="10" max="10" width="21" style="16" bestFit="1" customWidth="1"/>
    <col min="11" max="16384" width="9.140625" style="16"/>
  </cols>
  <sheetData>
    <row r="1" spans="1:19" ht="15.75" thickBot="1" x14ac:dyDescent="0.3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4</v>
      </c>
      <c r="F1" s="15" t="s">
        <v>33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182</v>
      </c>
    </row>
    <row r="2" spans="1:19" ht="15.75" thickBot="1" x14ac:dyDescent="0.3">
      <c r="A2" s="17">
        <v>1</v>
      </c>
      <c r="B2" s="17">
        <v>3</v>
      </c>
      <c r="C2" s="16" t="s">
        <v>38</v>
      </c>
      <c r="D2" s="16" t="s">
        <v>39</v>
      </c>
      <c r="E2" s="16" t="s">
        <v>40</v>
      </c>
      <c r="F2" s="16" t="s">
        <v>41</v>
      </c>
      <c r="G2" s="17">
        <v>3</v>
      </c>
      <c r="H2" s="17">
        <v>0</v>
      </c>
      <c r="I2" s="16">
        <v>0.3</v>
      </c>
      <c r="J2" s="18">
        <v>0.9</v>
      </c>
      <c r="K2" s="16">
        <f>IF(Table2[[#This Row],[Part Number]]=O2, 1, 0)</f>
        <v>0</v>
      </c>
      <c r="M2" s="19"/>
      <c r="N2" s="20"/>
      <c r="O2" s="19"/>
      <c r="P2" s="21"/>
      <c r="Q2" s="21"/>
      <c r="R2" s="19"/>
      <c r="S2" s="19"/>
    </row>
    <row r="3" spans="1:19" ht="15.75" thickBot="1" x14ac:dyDescent="0.3">
      <c r="A3" s="17">
        <v>2</v>
      </c>
      <c r="B3" s="17">
        <v>2</v>
      </c>
      <c r="C3" s="16" t="s">
        <v>42</v>
      </c>
      <c r="D3" s="16" t="s">
        <v>43</v>
      </c>
      <c r="E3" s="16" t="s">
        <v>44</v>
      </c>
      <c r="F3" s="16" t="s">
        <v>45</v>
      </c>
      <c r="G3" s="17">
        <v>2</v>
      </c>
      <c r="H3" s="17">
        <v>0</v>
      </c>
      <c r="I3" s="16">
        <v>0.82</v>
      </c>
      <c r="J3" s="18">
        <v>1.64</v>
      </c>
      <c r="K3" s="16">
        <f>IF(Table2[[#This Row],[Part Number]]=O3, 1, 0)</f>
        <v>0</v>
      </c>
      <c r="M3" s="22"/>
      <c r="N3" s="23"/>
      <c r="O3" s="22"/>
      <c r="P3" s="24"/>
      <c r="Q3" s="24"/>
      <c r="R3" s="19"/>
      <c r="S3" s="22"/>
    </row>
    <row r="4" spans="1:19" ht="15.75" thickBot="1" x14ac:dyDescent="0.3">
      <c r="A4" s="17">
        <v>3</v>
      </c>
      <c r="B4" s="17">
        <v>3</v>
      </c>
      <c r="C4" s="16" t="s">
        <v>46</v>
      </c>
      <c r="D4" s="16" t="s">
        <v>47</v>
      </c>
      <c r="E4" s="16" t="s">
        <v>48</v>
      </c>
      <c r="F4" s="16" t="s">
        <v>49</v>
      </c>
      <c r="G4" s="17">
        <v>3</v>
      </c>
      <c r="H4" s="17">
        <v>0</v>
      </c>
      <c r="I4" s="16">
        <v>0.11</v>
      </c>
      <c r="J4" s="18">
        <v>0.33</v>
      </c>
      <c r="K4" s="16">
        <f>IF(Table2[[#This Row],[Part Number]]=O4, 1, 0)</f>
        <v>0</v>
      </c>
      <c r="M4" s="22"/>
      <c r="N4" s="23"/>
      <c r="O4" s="22"/>
      <c r="P4" s="24"/>
      <c r="Q4" s="24"/>
      <c r="R4" s="19"/>
      <c r="S4" s="22"/>
    </row>
    <row r="5" spans="1:19" ht="15.75" thickBot="1" x14ac:dyDescent="0.3">
      <c r="A5" s="17">
        <v>4</v>
      </c>
      <c r="B5" s="17">
        <v>2</v>
      </c>
      <c r="C5" s="16" t="s">
        <v>50</v>
      </c>
      <c r="D5" s="16" t="s">
        <v>51</v>
      </c>
      <c r="E5" s="16" t="s">
        <v>52</v>
      </c>
      <c r="F5" s="16" t="s">
        <v>53</v>
      </c>
      <c r="G5" s="17">
        <v>2</v>
      </c>
      <c r="H5" s="17">
        <v>0</v>
      </c>
      <c r="I5" s="16">
        <v>0.36</v>
      </c>
      <c r="J5" s="18">
        <v>0.72</v>
      </c>
      <c r="K5" s="16">
        <f>IF(Table2[[#This Row],[Part Number]]=O5, 1, 0)</f>
        <v>0</v>
      </c>
      <c r="M5" s="22"/>
      <c r="N5" s="23"/>
      <c r="O5" s="22"/>
      <c r="P5" s="24"/>
      <c r="Q5" s="24"/>
      <c r="R5" s="19"/>
      <c r="S5" s="22"/>
    </row>
    <row r="6" spans="1:19" ht="15.75" thickBot="1" x14ac:dyDescent="0.3">
      <c r="A6" s="17">
        <v>5</v>
      </c>
      <c r="B6" s="17">
        <v>2</v>
      </c>
      <c r="C6" s="16" t="s">
        <v>54</v>
      </c>
      <c r="D6" s="16" t="s">
        <v>55</v>
      </c>
      <c r="E6" s="16" t="s">
        <v>56</v>
      </c>
      <c r="F6" s="16" t="s">
        <v>57</v>
      </c>
      <c r="G6" s="17">
        <v>2</v>
      </c>
      <c r="H6" s="17">
        <v>0</v>
      </c>
      <c r="I6" s="16">
        <v>0.16</v>
      </c>
      <c r="J6" s="18">
        <v>0.32</v>
      </c>
      <c r="K6" s="16">
        <f>IF(Table2[[#This Row],[Part Number]]=O6, 1, 0)</f>
        <v>0</v>
      </c>
      <c r="M6" s="22"/>
      <c r="N6" s="23"/>
      <c r="O6" s="22"/>
      <c r="P6" s="24"/>
      <c r="Q6" s="24"/>
      <c r="R6" s="19"/>
      <c r="S6" s="22"/>
    </row>
    <row r="7" spans="1:19" ht="15.75" thickBot="1" x14ac:dyDescent="0.3">
      <c r="A7" s="17">
        <v>6</v>
      </c>
      <c r="B7" s="17">
        <v>1</v>
      </c>
      <c r="C7" s="16" t="s">
        <v>58</v>
      </c>
      <c r="D7" s="16" t="s">
        <v>59</v>
      </c>
      <c r="E7" s="16" t="s">
        <v>60</v>
      </c>
      <c r="F7" s="16" t="s">
        <v>61</v>
      </c>
      <c r="G7" s="17">
        <v>1</v>
      </c>
      <c r="H7" s="17">
        <v>0</v>
      </c>
      <c r="I7" s="16">
        <v>0.54</v>
      </c>
      <c r="J7" s="18">
        <v>0.54</v>
      </c>
      <c r="K7" s="16">
        <f>IF(Table2[[#This Row],[Part Number]]=O7, 1, 0)</f>
        <v>0</v>
      </c>
      <c r="M7" s="22"/>
      <c r="N7" s="23"/>
      <c r="O7" s="22"/>
      <c r="P7" s="24"/>
      <c r="Q7" s="24"/>
      <c r="R7" s="19"/>
      <c r="S7" s="22"/>
    </row>
    <row r="8" spans="1:19" ht="15.75" thickBot="1" x14ac:dyDescent="0.3">
      <c r="A8" s="17">
        <v>7</v>
      </c>
      <c r="B8" s="17">
        <v>6</v>
      </c>
      <c r="C8" s="16" t="s">
        <v>62</v>
      </c>
      <c r="D8" s="16" t="s">
        <v>63</v>
      </c>
      <c r="E8" s="16" t="s">
        <v>64</v>
      </c>
      <c r="F8" s="16" t="s">
        <v>65</v>
      </c>
      <c r="G8" s="17">
        <v>6</v>
      </c>
      <c r="H8" s="17">
        <v>0</v>
      </c>
      <c r="I8" s="16">
        <v>0.66</v>
      </c>
      <c r="J8" s="18">
        <v>3.96</v>
      </c>
      <c r="K8" s="16">
        <f>IF(Table2[[#This Row],[Part Number]]=O8, 1, 0)</f>
        <v>0</v>
      </c>
      <c r="M8" s="22"/>
      <c r="N8" s="23"/>
      <c r="O8" s="22"/>
      <c r="P8" s="24"/>
      <c r="Q8" s="24"/>
      <c r="R8" s="19"/>
      <c r="S8" s="22"/>
    </row>
    <row r="9" spans="1:19" ht="15.75" thickBot="1" x14ac:dyDescent="0.3">
      <c r="A9" s="17">
        <v>8</v>
      </c>
      <c r="B9" s="17">
        <v>1</v>
      </c>
      <c r="C9" s="16" t="s">
        <v>66</v>
      </c>
      <c r="D9" s="16" t="s">
        <v>67</v>
      </c>
      <c r="E9" s="16" t="s">
        <v>68</v>
      </c>
      <c r="F9" s="16" t="s">
        <v>69</v>
      </c>
      <c r="G9" s="17">
        <v>1</v>
      </c>
      <c r="H9" s="17">
        <v>0</v>
      </c>
      <c r="I9" s="16">
        <v>0.26</v>
      </c>
      <c r="J9" s="18">
        <v>0.26</v>
      </c>
      <c r="K9" s="16">
        <f>IF(Table2[[#This Row],[Part Number]]=O9, 1, 0)</f>
        <v>0</v>
      </c>
      <c r="M9" s="22"/>
      <c r="N9" s="23"/>
      <c r="O9" s="22"/>
      <c r="P9" s="24"/>
      <c r="Q9" s="24"/>
      <c r="R9" s="19"/>
      <c r="S9" s="22"/>
    </row>
    <row r="10" spans="1:19" ht="15.75" thickBot="1" x14ac:dyDescent="0.3">
      <c r="A10" s="17">
        <v>9</v>
      </c>
      <c r="B10" s="17">
        <v>16</v>
      </c>
      <c r="C10" s="16" t="s">
        <v>70</v>
      </c>
      <c r="D10" s="16" t="s">
        <v>71</v>
      </c>
      <c r="E10" s="16" t="s">
        <v>72</v>
      </c>
      <c r="F10" s="16" t="s">
        <v>73</v>
      </c>
      <c r="G10" s="17">
        <v>16</v>
      </c>
      <c r="H10" s="17">
        <v>0</v>
      </c>
      <c r="I10" s="16">
        <v>5.7000000000000002E-2</v>
      </c>
      <c r="J10" s="18">
        <v>0.91</v>
      </c>
      <c r="K10" s="16">
        <f>IF(Table2[[#This Row],[Part Number]]=O10, 1, 0)</f>
        <v>0</v>
      </c>
      <c r="M10" s="22"/>
      <c r="N10" s="23"/>
      <c r="O10" s="22"/>
      <c r="P10" s="24"/>
      <c r="Q10" s="24"/>
      <c r="R10" s="19"/>
      <c r="S10" s="22"/>
    </row>
    <row r="11" spans="1:19" ht="15.75" thickBot="1" x14ac:dyDescent="0.3">
      <c r="A11" s="17">
        <v>10</v>
      </c>
      <c r="B11" s="17">
        <v>1</v>
      </c>
      <c r="C11" s="16" t="s">
        <v>74</v>
      </c>
      <c r="D11" s="16" t="s">
        <v>75</v>
      </c>
      <c r="E11" s="16" t="s">
        <v>76</v>
      </c>
      <c r="F11" s="16" t="s">
        <v>77</v>
      </c>
      <c r="G11" s="17">
        <v>1</v>
      </c>
      <c r="H11" s="17">
        <v>0</v>
      </c>
      <c r="I11" s="16">
        <v>0.1</v>
      </c>
      <c r="J11" s="18">
        <v>0.1</v>
      </c>
      <c r="K11" s="16">
        <f>IF(Table2[[#This Row],[Part Number]]=O11, 1, 0)</f>
        <v>0</v>
      </c>
      <c r="M11" s="22"/>
      <c r="N11" s="23"/>
      <c r="O11" s="22"/>
      <c r="P11" s="24"/>
      <c r="Q11" s="24"/>
      <c r="R11" s="19"/>
      <c r="S11" s="22"/>
    </row>
    <row r="12" spans="1:19" ht="15.75" thickBot="1" x14ac:dyDescent="0.3">
      <c r="A12" s="17">
        <v>11</v>
      </c>
      <c r="B12" s="17">
        <v>1</v>
      </c>
      <c r="C12" s="16" t="s">
        <v>78</v>
      </c>
      <c r="D12" s="16" t="s">
        <v>79</v>
      </c>
      <c r="E12" s="16" t="s">
        <v>80</v>
      </c>
      <c r="F12" s="16" t="s">
        <v>81</v>
      </c>
      <c r="G12" s="17">
        <v>1</v>
      </c>
      <c r="H12" s="17">
        <v>0</v>
      </c>
      <c r="I12" s="16">
        <v>0.1</v>
      </c>
      <c r="J12" s="18">
        <v>0.1</v>
      </c>
      <c r="K12" s="16">
        <f>IF(Table2[[#This Row],[Part Number]]=O12, 1, 0)</f>
        <v>0</v>
      </c>
      <c r="M12" s="22"/>
      <c r="N12" s="23"/>
      <c r="O12" s="22"/>
      <c r="P12" s="24"/>
      <c r="Q12" s="24"/>
      <c r="R12" s="19"/>
      <c r="S12" s="22"/>
    </row>
    <row r="13" spans="1:19" ht="15.75" thickBot="1" x14ac:dyDescent="0.3">
      <c r="A13" s="17">
        <v>12</v>
      </c>
      <c r="B13" s="17">
        <v>1</v>
      </c>
      <c r="C13" s="16" t="s">
        <v>82</v>
      </c>
      <c r="D13" s="16" t="s">
        <v>83</v>
      </c>
      <c r="E13" s="16" t="s">
        <v>84</v>
      </c>
      <c r="F13" s="16" t="s">
        <v>85</v>
      </c>
      <c r="G13" s="17">
        <v>1</v>
      </c>
      <c r="H13" s="17">
        <v>0</v>
      </c>
      <c r="I13" s="16">
        <v>0.1</v>
      </c>
      <c r="J13" s="18">
        <v>0.1</v>
      </c>
      <c r="K13" s="16">
        <f>IF(Table2[[#This Row],[Part Number]]=O13, 1, 0)</f>
        <v>0</v>
      </c>
      <c r="M13" s="22"/>
      <c r="N13" s="23"/>
      <c r="O13" s="22"/>
      <c r="P13" s="24"/>
      <c r="Q13" s="24"/>
      <c r="R13" s="19"/>
      <c r="S13" s="22"/>
    </row>
    <row r="14" spans="1:19" ht="15.75" thickBot="1" x14ac:dyDescent="0.3">
      <c r="A14" s="17">
        <v>13</v>
      </c>
      <c r="B14" s="17">
        <v>1</v>
      </c>
      <c r="C14" s="16" t="s">
        <v>86</v>
      </c>
      <c r="D14" s="16" t="s">
        <v>87</v>
      </c>
      <c r="E14" s="16" t="s">
        <v>88</v>
      </c>
      <c r="F14" s="16" t="s">
        <v>89</v>
      </c>
      <c r="G14" s="17">
        <v>1</v>
      </c>
      <c r="H14" s="17">
        <v>0</v>
      </c>
      <c r="I14" s="16">
        <v>0.1</v>
      </c>
      <c r="J14" s="18">
        <v>0.1</v>
      </c>
      <c r="K14" s="16">
        <f>IF(Table2[[#This Row],[Part Number]]=O14, 1, 0)</f>
        <v>0</v>
      </c>
      <c r="M14" s="22"/>
      <c r="N14" s="23"/>
      <c r="O14" s="22"/>
      <c r="P14" s="24"/>
      <c r="Q14" s="24"/>
      <c r="R14" s="19"/>
      <c r="S14" s="22"/>
    </row>
    <row r="15" spans="1:19" ht="15.75" thickBot="1" x14ac:dyDescent="0.3">
      <c r="A15" s="17">
        <v>14</v>
      </c>
      <c r="B15" s="17">
        <v>1</v>
      </c>
      <c r="C15" s="16" t="s">
        <v>90</v>
      </c>
      <c r="D15" s="16" t="s">
        <v>91</v>
      </c>
      <c r="E15" s="16" t="s">
        <v>92</v>
      </c>
      <c r="F15" s="16" t="s">
        <v>93</v>
      </c>
      <c r="G15" s="17">
        <v>1</v>
      </c>
      <c r="H15" s="17">
        <v>0</v>
      </c>
      <c r="I15" s="16">
        <v>0.1</v>
      </c>
      <c r="J15" s="18">
        <v>0.1</v>
      </c>
      <c r="K15" s="16">
        <f>IF(Table2[[#This Row],[Part Number]]=O15, 1, 0)</f>
        <v>0</v>
      </c>
      <c r="M15" s="22"/>
      <c r="N15" s="23"/>
      <c r="O15" s="22"/>
      <c r="P15" s="24"/>
      <c r="Q15" s="24"/>
      <c r="R15" s="19"/>
      <c r="S15" s="22"/>
    </row>
    <row r="16" spans="1:19" ht="15.75" thickBot="1" x14ac:dyDescent="0.3">
      <c r="A16" s="17">
        <v>15</v>
      </c>
      <c r="B16" s="17">
        <v>2</v>
      </c>
      <c r="C16" s="16" t="s">
        <v>94</v>
      </c>
      <c r="D16" s="16" t="s">
        <v>95</v>
      </c>
      <c r="E16" s="16" t="s">
        <v>96</v>
      </c>
      <c r="F16" s="16" t="s">
        <v>97</v>
      </c>
      <c r="G16" s="17">
        <v>2</v>
      </c>
      <c r="H16" s="17">
        <v>0</v>
      </c>
      <c r="I16" s="16">
        <v>1.54</v>
      </c>
      <c r="J16" s="18">
        <v>3.08</v>
      </c>
      <c r="K16" s="16">
        <f>IF(Table2[[#This Row],[Part Number]]=O16, 1, 0)</f>
        <v>0</v>
      </c>
      <c r="M16" s="22"/>
      <c r="N16" s="23"/>
      <c r="O16" s="22"/>
      <c r="P16" s="24"/>
      <c r="Q16" s="24"/>
      <c r="R16" s="19"/>
      <c r="S16" s="22"/>
    </row>
    <row r="17" spans="1:19" ht="15.75" thickBot="1" x14ac:dyDescent="0.3">
      <c r="A17" s="17">
        <v>16</v>
      </c>
      <c r="B17" s="17">
        <v>1</v>
      </c>
      <c r="C17" s="16" t="s">
        <v>98</v>
      </c>
      <c r="D17" s="16" t="s">
        <v>99</v>
      </c>
      <c r="E17" s="16" t="s">
        <v>100</v>
      </c>
      <c r="F17" s="16" t="s">
        <v>101</v>
      </c>
      <c r="G17" s="17">
        <v>1</v>
      </c>
      <c r="H17" s="17">
        <v>0</v>
      </c>
      <c r="I17" s="16">
        <v>1.17</v>
      </c>
      <c r="J17" s="18">
        <v>1.17</v>
      </c>
      <c r="K17" s="16">
        <f>IF(Table2[[#This Row],[Part Number]]=O17, 1, 0)</f>
        <v>0</v>
      </c>
      <c r="M17" s="22"/>
      <c r="N17" s="23"/>
      <c r="O17" s="22"/>
      <c r="P17" s="24"/>
      <c r="Q17" s="24"/>
      <c r="R17" s="19"/>
      <c r="S17" s="22"/>
    </row>
    <row r="18" spans="1:19" ht="15.75" thickBot="1" x14ac:dyDescent="0.3">
      <c r="A18" s="17">
        <v>17</v>
      </c>
      <c r="B18" s="17">
        <v>1</v>
      </c>
      <c r="C18" s="16" t="s">
        <v>102</v>
      </c>
      <c r="D18" s="16" t="s">
        <v>103</v>
      </c>
      <c r="E18" s="16" t="s">
        <v>104</v>
      </c>
      <c r="F18" s="16" t="s">
        <v>105</v>
      </c>
      <c r="G18" s="17">
        <v>1</v>
      </c>
      <c r="H18" s="17">
        <v>0</v>
      </c>
      <c r="I18" s="16">
        <v>5.69</v>
      </c>
      <c r="J18" s="18">
        <v>5.69</v>
      </c>
      <c r="K18" s="16">
        <f>IF(Table2[[#This Row],[Part Number]]=O18, 1, 0)</f>
        <v>0</v>
      </c>
      <c r="M18" s="22"/>
      <c r="N18" s="23"/>
      <c r="O18" s="22"/>
      <c r="P18" s="24"/>
      <c r="Q18" s="24"/>
      <c r="R18" s="19"/>
      <c r="S18" s="22"/>
    </row>
    <row r="19" spans="1:19" ht="15.75" thickBot="1" x14ac:dyDescent="0.3">
      <c r="A19" s="17">
        <v>18</v>
      </c>
      <c r="B19" s="17">
        <v>3</v>
      </c>
      <c r="C19" s="16" t="s">
        <v>106</v>
      </c>
      <c r="D19" s="16" t="s">
        <v>107</v>
      </c>
      <c r="E19" s="16" t="s">
        <v>108</v>
      </c>
      <c r="F19" s="16" t="s">
        <v>109</v>
      </c>
      <c r="G19" s="17">
        <v>3</v>
      </c>
      <c r="H19" s="17">
        <v>0</v>
      </c>
      <c r="I19" s="16">
        <v>0.69</v>
      </c>
      <c r="J19" s="18">
        <v>2.0699999999999998</v>
      </c>
      <c r="K19" s="16">
        <f>IF(Table2[[#This Row],[Part Number]]=O19, 1, 0)</f>
        <v>0</v>
      </c>
      <c r="M19" s="22"/>
      <c r="N19" s="23"/>
      <c r="O19" s="22"/>
      <c r="P19" s="24"/>
      <c r="Q19" s="24"/>
      <c r="R19" s="19"/>
      <c r="S19" s="22"/>
    </row>
    <row r="20" spans="1:19" ht="15.75" thickBot="1" x14ac:dyDescent="0.3">
      <c r="A20" s="17">
        <v>19</v>
      </c>
      <c r="B20" s="17">
        <v>1</v>
      </c>
      <c r="C20" s="16" t="s">
        <v>110</v>
      </c>
      <c r="D20" s="16" t="s">
        <v>111</v>
      </c>
      <c r="E20" s="16" t="s">
        <v>112</v>
      </c>
      <c r="F20" s="16" t="s">
        <v>113</v>
      </c>
      <c r="G20" s="17">
        <v>1</v>
      </c>
      <c r="H20" s="17">
        <v>0</v>
      </c>
      <c r="I20" s="16">
        <v>1.47</v>
      </c>
      <c r="J20" s="18">
        <v>1.47</v>
      </c>
      <c r="K20" s="16">
        <f>IF(Table2[[#This Row],[Part Number]]=O20, 1, 0)</f>
        <v>0</v>
      </c>
      <c r="M20" s="22"/>
      <c r="N20" s="23"/>
      <c r="O20" s="22"/>
      <c r="P20" s="24"/>
      <c r="Q20" s="24"/>
      <c r="R20" s="19"/>
      <c r="S20" s="22"/>
    </row>
    <row r="21" spans="1:19" ht="15.75" thickBot="1" x14ac:dyDescent="0.3">
      <c r="A21" s="17">
        <v>20</v>
      </c>
      <c r="B21" s="17">
        <v>2</v>
      </c>
      <c r="C21" s="16" t="s">
        <v>114</v>
      </c>
      <c r="D21" s="16" t="s">
        <v>115</v>
      </c>
      <c r="E21" s="16" t="s">
        <v>116</v>
      </c>
      <c r="F21" s="16" t="s">
        <v>117</v>
      </c>
      <c r="G21" s="17">
        <v>2</v>
      </c>
      <c r="H21" s="17">
        <v>0</v>
      </c>
      <c r="I21" s="16">
        <v>0.44</v>
      </c>
      <c r="J21" s="18">
        <v>0.88</v>
      </c>
      <c r="K21" s="16">
        <f>IF(Table2[[#This Row],[Part Number]]=O21, 1, 0)</f>
        <v>0</v>
      </c>
      <c r="M21" s="22"/>
      <c r="N21" s="23"/>
      <c r="O21" s="22"/>
      <c r="P21" s="24"/>
      <c r="Q21" s="24"/>
      <c r="R21" s="19"/>
      <c r="S21" s="22"/>
    </row>
    <row r="22" spans="1:19" x14ac:dyDescent="0.25">
      <c r="A22" s="17">
        <v>21</v>
      </c>
      <c r="B22" s="17">
        <v>10</v>
      </c>
      <c r="C22" s="16" t="s">
        <v>118</v>
      </c>
      <c r="D22" s="16" t="s">
        <v>119</v>
      </c>
      <c r="E22" s="16" t="s">
        <v>120</v>
      </c>
      <c r="F22" s="16" t="s">
        <v>121</v>
      </c>
      <c r="G22" s="17">
        <v>10</v>
      </c>
      <c r="H22" s="17">
        <v>0</v>
      </c>
      <c r="I22" s="16">
        <v>0.42199999999999999</v>
      </c>
      <c r="J22" s="18">
        <v>4.22</v>
      </c>
      <c r="K22" s="16">
        <f>IF(Table2[[#This Row],[Part Number]]=O22, 1, 0)</f>
        <v>0</v>
      </c>
      <c r="M22" s="22"/>
      <c r="N22" s="23"/>
      <c r="O22" s="22"/>
      <c r="P22" s="24"/>
      <c r="Q22" s="24"/>
      <c r="R22" s="19"/>
      <c r="S22" s="22"/>
    </row>
    <row r="23" spans="1:19" x14ac:dyDescent="0.25">
      <c r="A23" s="17">
        <v>22</v>
      </c>
      <c r="B23" s="17">
        <v>10</v>
      </c>
      <c r="C23" s="16" t="s">
        <v>38</v>
      </c>
      <c r="D23" s="16" t="s">
        <v>39</v>
      </c>
      <c r="E23" s="16" t="s">
        <v>40</v>
      </c>
      <c r="F23" s="16" t="s">
        <v>122</v>
      </c>
      <c r="G23" s="17">
        <v>10</v>
      </c>
      <c r="H23" s="17">
        <v>0</v>
      </c>
      <c r="I23" s="16">
        <v>0.23400000000000001</v>
      </c>
      <c r="J23" s="18">
        <v>2.34</v>
      </c>
      <c r="K23" s="16">
        <f>IF(Table2[[#This Row],[Part Number]]=O23, 1, 0)</f>
        <v>0</v>
      </c>
      <c r="M23" s="22"/>
      <c r="N23" s="23"/>
      <c r="O23" s="22"/>
      <c r="P23" s="24"/>
      <c r="Q23" s="24"/>
      <c r="R23" s="22"/>
      <c r="S23" s="22"/>
    </row>
    <row r="24" spans="1:19" x14ac:dyDescent="0.25">
      <c r="A24" s="17">
        <v>23</v>
      </c>
      <c r="B24" s="17">
        <v>25</v>
      </c>
      <c r="C24" s="16" t="s">
        <v>50</v>
      </c>
      <c r="D24" s="16" t="s">
        <v>51</v>
      </c>
      <c r="E24" s="16" t="s">
        <v>52</v>
      </c>
      <c r="F24" s="16" t="s">
        <v>123</v>
      </c>
      <c r="G24" s="17">
        <v>25</v>
      </c>
      <c r="H24" s="17">
        <v>0</v>
      </c>
      <c r="I24" s="16">
        <v>0.247</v>
      </c>
      <c r="J24" s="18">
        <v>6.18</v>
      </c>
      <c r="K24" s="16">
        <f>IF(Table2[[#This Row],[Part Number]]=O24, 1, 0)</f>
        <v>0</v>
      </c>
      <c r="M24" s="22"/>
      <c r="N24" s="23"/>
      <c r="O24" s="22"/>
      <c r="P24" s="24"/>
      <c r="Q24" s="24"/>
      <c r="R24" s="22"/>
      <c r="S24" s="22"/>
    </row>
    <row r="25" spans="1:19" x14ac:dyDescent="0.25">
      <c r="A25" s="17">
        <v>24</v>
      </c>
      <c r="B25" s="17">
        <v>5</v>
      </c>
      <c r="C25" s="16" t="s">
        <v>124</v>
      </c>
      <c r="D25" s="16" t="s">
        <v>125</v>
      </c>
      <c r="E25" s="16" t="s">
        <v>126</v>
      </c>
      <c r="F25" s="16" t="s">
        <v>127</v>
      </c>
      <c r="G25" s="17">
        <v>5</v>
      </c>
      <c r="H25" s="17">
        <v>0</v>
      </c>
      <c r="I25" s="16">
        <v>0.36</v>
      </c>
      <c r="J25" s="18">
        <v>1.8</v>
      </c>
      <c r="K25" s="16">
        <f>IF(Table2[[#This Row],[Part Number]]=O25, 1, 0)</f>
        <v>0</v>
      </c>
      <c r="M25" s="22"/>
      <c r="N25" s="23"/>
      <c r="O25" s="22"/>
      <c r="P25" s="24"/>
      <c r="Q25" s="24"/>
      <c r="R25" s="22"/>
      <c r="S25" s="22"/>
    </row>
    <row r="26" spans="1:19" x14ac:dyDescent="0.25">
      <c r="A26" s="17">
        <v>25</v>
      </c>
      <c r="B26" s="17">
        <v>5</v>
      </c>
      <c r="C26" s="16" t="s">
        <v>62</v>
      </c>
      <c r="D26" s="16" t="s">
        <v>63</v>
      </c>
      <c r="E26" s="16" t="s">
        <v>64</v>
      </c>
      <c r="F26" s="16" t="s">
        <v>128</v>
      </c>
      <c r="G26" s="17">
        <v>5</v>
      </c>
      <c r="H26" s="17">
        <v>0</v>
      </c>
      <c r="I26" s="16">
        <v>0.66</v>
      </c>
      <c r="J26" s="18">
        <v>3.3</v>
      </c>
      <c r="K26" s="16">
        <f>IF(Table2[[#This Row],[Part Number]]=O26, 1, 0)</f>
        <v>0</v>
      </c>
      <c r="M26" s="22"/>
      <c r="N26" s="23"/>
      <c r="O26" s="22"/>
      <c r="P26" s="24"/>
      <c r="Q26" s="24"/>
      <c r="R26" s="22"/>
      <c r="S26" s="22"/>
    </row>
    <row r="27" spans="1:19" x14ac:dyDescent="0.25">
      <c r="A27" s="17">
        <v>26</v>
      </c>
      <c r="B27" s="17">
        <v>5</v>
      </c>
      <c r="C27" s="16" t="s">
        <v>129</v>
      </c>
      <c r="D27" s="16" t="s">
        <v>130</v>
      </c>
      <c r="E27" s="16" t="s">
        <v>131</v>
      </c>
      <c r="F27" s="16" t="s">
        <v>132</v>
      </c>
      <c r="G27" s="17">
        <v>0</v>
      </c>
      <c r="H27" s="17">
        <v>5</v>
      </c>
      <c r="I27" s="16">
        <v>0.44</v>
      </c>
      <c r="J27" s="18">
        <v>2.2000000000000002</v>
      </c>
      <c r="K27" s="16">
        <f>IF(Table2[[#This Row],[Part Number]]=O27, 1, 0)</f>
        <v>0</v>
      </c>
      <c r="M27" s="22"/>
      <c r="N27" s="23"/>
      <c r="O27" s="22"/>
      <c r="P27" s="24"/>
      <c r="Q27" s="24"/>
      <c r="R27" s="22"/>
      <c r="S27" s="22"/>
    </row>
    <row r="28" spans="1:19" x14ac:dyDescent="0.25">
      <c r="A28" s="17">
        <v>27</v>
      </c>
      <c r="B28" s="17">
        <v>5</v>
      </c>
      <c r="C28" s="16" t="s">
        <v>133</v>
      </c>
      <c r="D28" s="16" t="s">
        <v>134</v>
      </c>
      <c r="E28" s="16" t="s">
        <v>135</v>
      </c>
      <c r="F28" s="16" t="s">
        <v>136</v>
      </c>
      <c r="G28" s="17">
        <v>5</v>
      </c>
      <c r="H28" s="17">
        <v>0</v>
      </c>
      <c r="I28" s="16">
        <v>1.02</v>
      </c>
      <c r="J28" s="18">
        <v>5.0999999999999996</v>
      </c>
      <c r="K28" s="16">
        <f>IF(Table2[[#This Row],[Part Number]]=O28, 1, 0)</f>
        <v>0</v>
      </c>
      <c r="M28" s="22"/>
      <c r="N28" s="23"/>
      <c r="O28" s="22"/>
      <c r="P28" s="24"/>
      <c r="Q28" s="24"/>
      <c r="R28" s="22"/>
      <c r="S28" s="22"/>
    </row>
    <row r="29" spans="1:19" x14ac:dyDescent="0.25">
      <c r="A29" s="17">
        <v>28</v>
      </c>
      <c r="B29" s="17">
        <v>10</v>
      </c>
      <c r="C29" s="16" t="s">
        <v>137</v>
      </c>
      <c r="D29" s="16" t="s">
        <v>138</v>
      </c>
      <c r="E29" s="16" t="s">
        <v>139</v>
      </c>
      <c r="F29" s="16" t="s">
        <v>140</v>
      </c>
      <c r="G29" s="17">
        <v>10</v>
      </c>
      <c r="H29" s="17">
        <v>0</v>
      </c>
      <c r="I29" s="16">
        <v>0.32100000000000001</v>
      </c>
      <c r="J29" s="18">
        <v>3.21</v>
      </c>
      <c r="K29" s="16">
        <f>IF(Table2[[#This Row],[Part Number]]=O29, 1, 0)</f>
        <v>0</v>
      </c>
      <c r="M29" s="22"/>
      <c r="N29" s="23"/>
      <c r="O29" s="22"/>
      <c r="P29" s="24"/>
      <c r="Q29" s="24"/>
      <c r="R29" s="22"/>
      <c r="S29" s="22"/>
    </row>
    <row r="30" spans="1:19" x14ac:dyDescent="0.25">
      <c r="A30" s="17">
        <v>29</v>
      </c>
      <c r="B30" s="17">
        <v>30</v>
      </c>
      <c r="C30" s="16" t="s">
        <v>141</v>
      </c>
      <c r="D30" s="16" t="s">
        <v>142</v>
      </c>
      <c r="E30" s="16" t="s">
        <v>143</v>
      </c>
      <c r="F30" s="16" t="s">
        <v>144</v>
      </c>
      <c r="G30" s="17">
        <v>30</v>
      </c>
      <c r="H30" s="17">
        <v>0</v>
      </c>
      <c r="I30" s="16">
        <v>2.4E-2</v>
      </c>
      <c r="J30" s="18">
        <v>0.72</v>
      </c>
      <c r="K30" s="16">
        <f>IF(Table2[[#This Row],[Part Number]]=O30, 1, 0)</f>
        <v>0</v>
      </c>
      <c r="M30" s="22"/>
      <c r="N30" s="23"/>
      <c r="O30" s="22"/>
      <c r="P30" s="24"/>
      <c r="Q30" s="24"/>
      <c r="R30" s="22"/>
      <c r="S30" s="22"/>
    </row>
    <row r="31" spans="1:19" x14ac:dyDescent="0.25">
      <c r="A31" s="17">
        <v>30</v>
      </c>
      <c r="B31" s="17">
        <v>5</v>
      </c>
      <c r="C31" s="16" t="s">
        <v>145</v>
      </c>
      <c r="D31" s="16" t="s">
        <v>146</v>
      </c>
      <c r="E31" s="16" t="s">
        <v>147</v>
      </c>
      <c r="F31" s="16" t="s">
        <v>148</v>
      </c>
      <c r="G31" s="17">
        <v>0</v>
      </c>
      <c r="H31" s="17">
        <v>5</v>
      </c>
      <c r="I31" s="16">
        <v>0.26</v>
      </c>
      <c r="J31" s="18">
        <v>1.3</v>
      </c>
      <c r="K31" s="16">
        <f>IF(Table2[[#This Row],[Part Number]]=O31, 1, 0)</f>
        <v>0</v>
      </c>
      <c r="M31" s="22"/>
      <c r="N31" s="23"/>
      <c r="O31" s="22"/>
      <c r="P31" s="24"/>
      <c r="Q31" s="24"/>
      <c r="R31" s="22"/>
      <c r="S31" s="22"/>
    </row>
    <row r="32" spans="1:19" x14ac:dyDescent="0.25">
      <c r="A32" s="17">
        <v>31</v>
      </c>
      <c r="B32" s="17">
        <v>5</v>
      </c>
      <c r="C32" s="16" t="s">
        <v>102</v>
      </c>
      <c r="D32" s="16" t="s">
        <v>103</v>
      </c>
      <c r="E32" s="16" t="s">
        <v>104</v>
      </c>
      <c r="F32" s="16" t="s">
        <v>149</v>
      </c>
      <c r="G32" s="17">
        <v>5</v>
      </c>
      <c r="H32" s="17">
        <v>0</v>
      </c>
      <c r="I32" s="16">
        <v>5.69</v>
      </c>
      <c r="J32" s="18">
        <v>28.45</v>
      </c>
      <c r="K32" s="16">
        <f>IF(Table2[[#This Row],[Part Number]]=O32, 1, 0)</f>
        <v>0</v>
      </c>
      <c r="M32" s="22"/>
      <c r="N32" s="23"/>
      <c r="O32" s="22"/>
      <c r="P32" s="24"/>
      <c r="Q32" s="24"/>
      <c r="R32" s="22"/>
      <c r="S32" s="22"/>
    </row>
    <row r="33" spans="1:19" x14ac:dyDescent="0.25">
      <c r="A33" s="17">
        <v>32</v>
      </c>
      <c r="B33" s="17">
        <v>5</v>
      </c>
      <c r="C33" s="16" t="s">
        <v>94</v>
      </c>
      <c r="D33" s="16" t="s">
        <v>95</v>
      </c>
      <c r="E33" s="16" t="s">
        <v>96</v>
      </c>
      <c r="F33" s="16" t="s">
        <v>150</v>
      </c>
      <c r="G33" s="17">
        <v>5</v>
      </c>
      <c r="H33" s="17">
        <v>0</v>
      </c>
      <c r="I33" s="16">
        <v>1.54</v>
      </c>
      <c r="J33" s="18">
        <v>7.7</v>
      </c>
      <c r="K33" s="16">
        <f>IF(Table2[[#This Row],[Part Number]]=O33, 1, 0)</f>
        <v>0</v>
      </c>
      <c r="M33" s="22"/>
      <c r="N33" s="23"/>
      <c r="O33" s="22"/>
      <c r="P33" s="24"/>
      <c r="Q33" s="24"/>
      <c r="R33" s="22"/>
      <c r="S33" s="22"/>
    </row>
    <row r="34" spans="1:19" x14ac:dyDescent="0.25">
      <c r="A34" s="17">
        <v>33</v>
      </c>
      <c r="B34" s="17">
        <v>10</v>
      </c>
      <c r="C34" s="16" t="s">
        <v>114</v>
      </c>
      <c r="D34" s="16" t="s">
        <v>115</v>
      </c>
      <c r="E34" s="16" t="s">
        <v>116</v>
      </c>
      <c r="F34" s="16" t="s">
        <v>151</v>
      </c>
      <c r="G34" s="17">
        <v>10</v>
      </c>
      <c r="H34" s="17">
        <v>0</v>
      </c>
      <c r="I34" s="16">
        <v>0.38</v>
      </c>
      <c r="J34" s="18">
        <v>3.8</v>
      </c>
      <c r="K34" s="16">
        <f>IF(Table2[[#This Row],[Part Number]]=O34, 1, 0)</f>
        <v>0</v>
      </c>
      <c r="M34" s="22"/>
      <c r="N34" s="23"/>
      <c r="O34" s="22"/>
      <c r="P34" s="24"/>
      <c r="Q34" s="24"/>
      <c r="R34" s="22"/>
      <c r="S34" s="22"/>
    </row>
    <row r="35" spans="1:19" x14ac:dyDescent="0.25">
      <c r="A35" s="17">
        <v>34</v>
      </c>
      <c r="B35" s="17">
        <v>50</v>
      </c>
      <c r="C35" s="16" t="s">
        <v>152</v>
      </c>
      <c r="D35" s="16" t="s">
        <v>153</v>
      </c>
      <c r="E35" s="16" t="s">
        <v>154</v>
      </c>
      <c r="F35" s="16" t="s">
        <v>155</v>
      </c>
      <c r="G35" s="17">
        <v>50</v>
      </c>
      <c r="H35" s="17">
        <v>0</v>
      </c>
      <c r="I35" s="16">
        <v>2.3800000000000002E-2</v>
      </c>
      <c r="J35" s="18">
        <v>1.19</v>
      </c>
      <c r="K35" s="16">
        <f>IF(Table2[[#This Row],[Part Number]]=O35, 1, 0)</f>
        <v>0</v>
      </c>
      <c r="M35" s="22"/>
      <c r="N35" s="23"/>
      <c r="O35" s="22"/>
      <c r="P35" s="24"/>
      <c r="Q35" s="24"/>
      <c r="R35" s="22"/>
      <c r="S35" s="22"/>
    </row>
    <row r="36" spans="1:19" x14ac:dyDescent="0.25">
      <c r="A36" s="17">
        <v>35</v>
      </c>
      <c r="B36" s="17">
        <v>10</v>
      </c>
      <c r="C36" s="16" t="s">
        <v>156</v>
      </c>
      <c r="D36" s="16" t="s">
        <v>157</v>
      </c>
      <c r="E36" s="16" t="s">
        <v>158</v>
      </c>
      <c r="F36" s="16" t="s">
        <v>159</v>
      </c>
      <c r="G36" s="17">
        <v>10</v>
      </c>
      <c r="H36" s="17">
        <v>0</v>
      </c>
      <c r="I36" s="16">
        <v>3.6999999999999998E-2</v>
      </c>
      <c r="J36" s="18">
        <v>0.37</v>
      </c>
      <c r="K36" s="16">
        <f>IF(Table2[[#This Row],[Part Number]]=O36, 1, 0)</f>
        <v>0</v>
      </c>
      <c r="M36" s="22"/>
      <c r="N36" s="23"/>
      <c r="O36" s="22"/>
      <c r="P36" s="24"/>
      <c r="Q36" s="24"/>
      <c r="R36" s="22"/>
      <c r="S36" s="22"/>
    </row>
    <row r="37" spans="1:19" x14ac:dyDescent="0.25">
      <c r="A37" s="17">
        <v>36</v>
      </c>
      <c r="B37" s="17">
        <v>10</v>
      </c>
      <c r="C37" s="16" t="s">
        <v>82</v>
      </c>
      <c r="D37" s="16" t="s">
        <v>83</v>
      </c>
      <c r="E37" s="16" t="s">
        <v>84</v>
      </c>
      <c r="F37" s="16" t="s">
        <v>160</v>
      </c>
      <c r="G37" s="17">
        <v>10</v>
      </c>
      <c r="H37" s="17">
        <v>0</v>
      </c>
      <c r="I37" s="16">
        <v>1.7000000000000001E-2</v>
      </c>
      <c r="J37" s="18">
        <v>0.17</v>
      </c>
      <c r="K37" s="16">
        <f>IF(Table2[[#This Row],[Part Number]]=O37, 1, 0)</f>
        <v>0</v>
      </c>
      <c r="M37" s="22"/>
      <c r="N37" s="23"/>
      <c r="O37" s="22"/>
      <c r="P37" s="24"/>
      <c r="Q37" s="24"/>
      <c r="R37" s="22"/>
      <c r="S37" s="22"/>
    </row>
    <row r="38" spans="1:19" x14ac:dyDescent="0.25">
      <c r="A38" s="17">
        <v>37</v>
      </c>
      <c r="B38" s="17">
        <v>10</v>
      </c>
      <c r="C38" s="16" t="s">
        <v>86</v>
      </c>
      <c r="D38" s="16" t="s">
        <v>87</v>
      </c>
      <c r="E38" s="16" t="s">
        <v>88</v>
      </c>
      <c r="F38" s="16" t="s">
        <v>161</v>
      </c>
      <c r="G38" s="17">
        <v>10</v>
      </c>
      <c r="H38" s="17">
        <v>0</v>
      </c>
      <c r="I38" s="16">
        <v>2.1000000000000001E-2</v>
      </c>
      <c r="J38" s="18">
        <v>0.21</v>
      </c>
      <c r="K38" s="16">
        <f>IF(Table2[[#This Row],[Part Number]]=O38, 1, 0)</f>
        <v>0</v>
      </c>
      <c r="M38" s="22"/>
      <c r="N38" s="23"/>
      <c r="O38" s="22"/>
      <c r="P38" s="24"/>
      <c r="Q38" s="24"/>
      <c r="R38" s="22"/>
      <c r="S38" s="22"/>
    </row>
    <row r="39" spans="1:19" x14ac:dyDescent="0.25">
      <c r="A39" s="17">
        <v>38</v>
      </c>
      <c r="B39" s="17">
        <v>5</v>
      </c>
      <c r="C39" s="16" t="s">
        <v>162</v>
      </c>
      <c r="D39" s="16" t="s">
        <v>163</v>
      </c>
      <c r="E39" s="16" t="s">
        <v>147</v>
      </c>
      <c r="F39" s="16" t="s">
        <v>148</v>
      </c>
      <c r="G39" s="17">
        <v>5</v>
      </c>
      <c r="H39" s="17">
        <v>0</v>
      </c>
      <c r="I39" s="16">
        <v>0.26</v>
      </c>
      <c r="J39" s="18">
        <v>1.3</v>
      </c>
      <c r="K39" s="16">
        <f>IF(Table2[[#This Row],[Part Number]]=O39, 1, 0)</f>
        <v>0</v>
      </c>
      <c r="M39" s="22"/>
      <c r="N39" s="23"/>
      <c r="O39" s="22"/>
      <c r="P39" s="24"/>
      <c r="Q39" s="24"/>
      <c r="R39" s="22"/>
      <c r="S39" s="22"/>
    </row>
    <row r="40" spans="1:19" x14ac:dyDescent="0.25">
      <c r="A40" s="17">
        <v>39</v>
      </c>
      <c r="B40" s="17">
        <v>4</v>
      </c>
      <c r="C40" s="16" t="s">
        <v>164</v>
      </c>
      <c r="D40" s="16" t="s">
        <v>165</v>
      </c>
      <c r="E40" s="16" t="s">
        <v>166</v>
      </c>
      <c r="F40" s="16" t="s">
        <v>167</v>
      </c>
      <c r="G40" s="17">
        <v>4</v>
      </c>
      <c r="H40" s="17">
        <v>0</v>
      </c>
      <c r="I40" s="16">
        <v>4.5</v>
      </c>
      <c r="J40" s="18">
        <v>18</v>
      </c>
      <c r="K40" s="16">
        <f>IF(Table2[[#This Row],[Part Number]]=O40, 1, 0)</f>
        <v>0</v>
      </c>
      <c r="M40" s="22"/>
      <c r="N40" s="23"/>
      <c r="O40" s="22"/>
      <c r="P40" s="24"/>
      <c r="Q40" s="24"/>
      <c r="R40" s="22"/>
      <c r="S40" s="22"/>
    </row>
    <row r="41" spans="1:19" ht="15.75" thickBot="1" x14ac:dyDescent="0.3">
      <c r="A41" s="17">
        <v>40</v>
      </c>
      <c r="B41" s="17">
        <v>4</v>
      </c>
      <c r="C41" s="16" t="s">
        <v>168</v>
      </c>
      <c r="D41" s="16" t="s">
        <v>169</v>
      </c>
      <c r="E41" s="16" t="s">
        <v>170</v>
      </c>
      <c r="F41" s="16" t="s">
        <v>171</v>
      </c>
      <c r="G41" s="17">
        <v>4</v>
      </c>
      <c r="H41" s="17">
        <v>0</v>
      </c>
      <c r="I41" s="16">
        <v>2.75</v>
      </c>
      <c r="J41" s="18">
        <v>11</v>
      </c>
      <c r="K41" s="16">
        <f>IF(Table2[[#This Row],[Part Number]]=O41, 1, 0)</f>
        <v>0</v>
      </c>
      <c r="M41" s="25"/>
      <c r="N41" s="26"/>
      <c r="O41" s="25"/>
      <c r="P41" s="27"/>
      <c r="Q41" s="27"/>
      <c r="R41" s="25"/>
      <c r="S41" s="25"/>
    </row>
    <row r="42" spans="1:19" x14ac:dyDescent="0.25">
      <c r="A42" s="17">
        <v>41</v>
      </c>
      <c r="B42" s="17">
        <v>1</v>
      </c>
      <c r="C42" s="16" t="s">
        <v>172</v>
      </c>
      <c r="D42" s="16" t="s">
        <v>173</v>
      </c>
      <c r="E42" s="16" t="s">
        <v>174</v>
      </c>
      <c r="G42" s="17">
        <v>1</v>
      </c>
      <c r="H42" s="17">
        <v>0</v>
      </c>
      <c r="I42" s="16">
        <v>13.95</v>
      </c>
      <c r="J42" s="18">
        <v>13.95</v>
      </c>
      <c r="K42" s="16">
        <f>IF(Table2[[#This Row],[Part Number]]=O42,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2021-04-12T23:26:28Z</dcterms:created>
  <dcterms:modified xsi:type="dcterms:W3CDTF">2021-04-14T18:44:02Z</dcterms:modified>
</cp:coreProperties>
</file>