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ind\Documents\GitHub\PersonalProjects\HyperRail\"/>
    </mc:Choice>
  </mc:AlternateContent>
  <xr:revisionPtr revIDLastSave="0" documentId="13_ncr:1_{1BC0A438-A1F9-4717-BC30-93C322F2609C}" xr6:coauthVersionLast="46" xr6:coauthVersionMax="46" xr10:uidLastSave="{00000000-0000-0000-0000-000000000000}"/>
  <bookViews>
    <workbookView xWindow="-120" yWindow="-120" windowWidth="29040" windowHeight="15840" xr2:uid="{9AA5CA3B-103F-4503-BB38-84DF181EF15E}"/>
  </bookViews>
  <sheets>
    <sheet name="Overall" sheetId="1" r:id="rId1"/>
    <sheet name="Electrical " sheetId="2" r:id="rId2"/>
    <sheet name="Mechanic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D9" i="1"/>
  <c r="I68" i="3"/>
  <c r="G64" i="3"/>
  <c r="H64" i="3"/>
  <c r="H67" i="3"/>
  <c r="I67" i="3" s="1"/>
  <c r="G66" i="3"/>
  <c r="G65" i="3"/>
  <c r="H66" i="3"/>
  <c r="I66" i="3" s="1"/>
  <c r="N7" i="1"/>
  <c r="Q7" i="1" s="1"/>
  <c r="R7" i="1" s="1"/>
  <c r="N8" i="1"/>
  <c r="Q8" i="1" s="1"/>
  <c r="R8" i="1" s="1"/>
  <c r="N6" i="1"/>
  <c r="Q6" i="1" s="1"/>
  <c r="R6" i="1" s="1"/>
  <c r="G24" i="3"/>
  <c r="G45" i="3"/>
  <c r="G46" i="3"/>
  <c r="G14" i="3"/>
  <c r="H14" i="3"/>
  <c r="I14" i="3" s="1"/>
  <c r="G15" i="3"/>
  <c r="G53" i="3"/>
  <c r="H65" i="3"/>
  <c r="I65" i="3" s="1"/>
  <c r="H63" i="3"/>
  <c r="I63" i="3" s="1"/>
  <c r="H62" i="3"/>
  <c r="I62" i="3" s="1"/>
  <c r="H57" i="3"/>
  <c r="I57" i="3" s="1"/>
  <c r="H56" i="3"/>
  <c r="I56" i="3" s="1"/>
  <c r="H55" i="3"/>
  <c r="I55" i="3" s="1"/>
  <c r="H54" i="3"/>
  <c r="I54" i="3" s="1"/>
  <c r="H53" i="3"/>
  <c r="H52" i="3"/>
  <c r="I52" i="3"/>
  <c r="H51" i="3"/>
  <c r="I51" i="3"/>
  <c r="H46" i="3"/>
  <c r="F5" i="1"/>
  <c r="F6" i="1"/>
  <c r="F7" i="1"/>
  <c r="E7" i="1"/>
  <c r="E6" i="1"/>
  <c r="E5" i="1"/>
  <c r="H45" i="3"/>
  <c r="I44" i="3"/>
  <c r="I43" i="3"/>
  <c r="H42" i="3"/>
  <c r="I42" i="3"/>
  <c r="H41" i="3"/>
  <c r="I41" i="3"/>
  <c r="H40" i="3"/>
  <c r="I40" i="3"/>
  <c r="H39" i="3"/>
  <c r="I39" i="3" s="1"/>
  <c r="H38" i="3"/>
  <c r="I38" i="3" s="1"/>
  <c r="I37" i="3"/>
  <c r="I34" i="3"/>
  <c r="I36" i="3"/>
  <c r="H35" i="3"/>
  <c r="I35" i="3" s="1"/>
  <c r="H27" i="3"/>
  <c r="I27" i="3" s="1"/>
  <c r="H26" i="3"/>
  <c r="I26" i="3" s="1"/>
  <c r="H25" i="3"/>
  <c r="H24" i="3"/>
  <c r="I25" i="3"/>
  <c r="I28" i="3"/>
  <c r="H23" i="3"/>
  <c r="I23" i="3" s="1"/>
  <c r="H22" i="3"/>
  <c r="I22" i="3" s="1"/>
  <c r="H20" i="3"/>
  <c r="I20" i="3" s="1"/>
  <c r="H19" i="3"/>
  <c r="I19" i="3" s="1"/>
  <c r="H18" i="3"/>
  <c r="I13" i="3"/>
  <c r="I17" i="3"/>
  <c r="I18" i="3"/>
  <c r="I21" i="3"/>
  <c r="H7" i="3"/>
  <c r="I7" i="3" s="1"/>
  <c r="H15" i="3"/>
  <c r="H16" i="3"/>
  <c r="I16" i="3" s="1"/>
  <c r="H6" i="3"/>
  <c r="H4" i="3"/>
  <c r="I4" i="3"/>
  <c r="I5" i="3"/>
  <c r="I6" i="3"/>
  <c r="I3" i="3"/>
  <c r="I59" i="2"/>
  <c r="I63" i="2"/>
  <c r="I52" i="2"/>
  <c r="I24" i="2"/>
  <c r="I64" i="3" l="1"/>
  <c r="I69" i="3" s="1"/>
  <c r="E9" i="1" s="1"/>
  <c r="F9" i="1" s="1"/>
  <c r="I46" i="3"/>
  <c r="I45" i="3"/>
  <c r="I53" i="3"/>
  <c r="I58" i="3" s="1"/>
  <c r="E8" i="1" s="1"/>
  <c r="F8" i="1" s="1"/>
  <c r="I15" i="3"/>
  <c r="I47" i="3"/>
  <c r="E4" i="1" s="1"/>
  <c r="F4" i="1" s="1"/>
  <c r="I24" i="3"/>
  <c r="H12" i="3"/>
  <c r="I12" i="3" s="1"/>
  <c r="I8" i="3"/>
  <c r="I30" i="3" l="1"/>
  <c r="E3" i="1" s="1"/>
  <c r="F3" i="1" s="1"/>
  <c r="L2" i="1"/>
</calcChain>
</file>

<file path=xl/sharedStrings.xml><?xml version="1.0" encoding="utf-8"?>
<sst xmlns="http://schemas.openxmlformats.org/spreadsheetml/2006/main" count="1289" uniqueCount="353">
  <si>
    <t>Manufacturer Part Number</t>
  </si>
  <si>
    <t>Manufacturer</t>
  </si>
  <si>
    <t>Digi-Key Part Number</t>
  </si>
  <si>
    <t>Customer Reference</t>
  </si>
  <si>
    <t>Packaging</t>
  </si>
  <si>
    <t>Part Status</t>
  </si>
  <si>
    <t>Quantity</t>
  </si>
  <si>
    <t>Unit Price</t>
  </si>
  <si>
    <t>Extended Price</t>
  </si>
  <si>
    <t>Quantity Available</t>
  </si>
  <si>
    <t>Mfg Std Lead Time</t>
  </si>
  <si>
    <t>Description</t>
  </si>
  <si>
    <t>RoHS Status</t>
  </si>
  <si>
    <t>Lead Free Status</t>
  </si>
  <si>
    <t>REACH Status</t>
  </si>
  <si>
    <t>LTST-C193TBKT-5A</t>
  </si>
  <si>
    <t>Lite-On Inc.</t>
  </si>
  <si>
    <t>160-1827-1-ND</t>
  </si>
  <si>
    <t>5V, 24V_ Integrated</t>
  </si>
  <si>
    <t>Cut Tape (CT)</t>
  </si>
  <si>
    <t>Active</t>
  </si>
  <si>
    <t>20 Weeks</t>
  </si>
  <si>
    <t>LED BLUE CLEAR CHIP SMD</t>
  </si>
  <si>
    <t>ROHS3 Compliant</t>
  </si>
  <si>
    <t>Lead free</t>
  </si>
  <si>
    <t>Not Available</t>
  </si>
  <si>
    <t>CL31A106KBHNNNE</t>
  </si>
  <si>
    <t>Samsung Electro-Mechanics</t>
  </si>
  <si>
    <t>1276-2876-1-ND</t>
  </si>
  <si>
    <t>C1, C2, C9, C11, C12_ Integrated</t>
  </si>
  <si>
    <t>28 Weeks</t>
  </si>
  <si>
    <t>CAP CER 10UF 50V X5R 1206</t>
  </si>
  <si>
    <t>REACH Unaffected</t>
  </si>
  <si>
    <t>CL10B104JB8NNNC</t>
  </si>
  <si>
    <t>1276-1033-1-ND</t>
  </si>
  <si>
    <t>C3, C4, C6, C7, C10_ Integrated</t>
  </si>
  <si>
    <t>CAP CER 0.1UF 50V X7R 0603</t>
  </si>
  <si>
    <t>0603B223K500CT</t>
  </si>
  <si>
    <t>Walsin Technology Corporation</t>
  </si>
  <si>
    <t>1292-1417-1-ND</t>
  </si>
  <si>
    <t>C5_ Integrated</t>
  </si>
  <si>
    <t>21 Weeks</t>
  </si>
  <si>
    <t>CAP CER 0.022UF 50V X7R 0603</t>
  </si>
  <si>
    <t>CL31B475KBHNNNE</t>
  </si>
  <si>
    <t>1276-2789-1-ND</t>
  </si>
  <si>
    <t>C8_ Integrated</t>
  </si>
  <si>
    <t>CAP CER 4.7UF 50V X7R 1206</t>
  </si>
  <si>
    <t>54602-908LF</t>
  </si>
  <si>
    <t>Amphenol ICC (FCI)</t>
  </si>
  <si>
    <t>609-1046-ND</t>
  </si>
  <si>
    <t>J1_ Integrated</t>
  </si>
  <si>
    <t>Bulk</t>
  </si>
  <si>
    <t>11 Weeks</t>
  </si>
  <si>
    <t>CONN MOD JACK 8P8C R/A UNSHLD</t>
  </si>
  <si>
    <t>RoHS Compliant</t>
  </si>
  <si>
    <t>54601-906WPLF</t>
  </si>
  <si>
    <t>609-4729-ND</t>
  </si>
  <si>
    <t>J2_ Integrated</t>
  </si>
  <si>
    <t>18 Weeks</t>
  </si>
  <si>
    <t>CONN MOD JACK 6P6C R/A UNSHLD</t>
  </si>
  <si>
    <t>OSTTE040161</t>
  </si>
  <si>
    <t>On Shore Technology Inc.</t>
  </si>
  <si>
    <t>ED2637-ND</t>
  </si>
  <si>
    <t>J3_ Integrated</t>
  </si>
  <si>
    <t>10 Weeks</t>
  </si>
  <si>
    <t>TERM BLK 4POS SIDE ENT 3.5MM PCB</t>
  </si>
  <si>
    <t>ERJ-6DSFR11V</t>
  </si>
  <si>
    <t>Panasonic Electronic Components</t>
  </si>
  <si>
    <t>P19309CT-ND</t>
  </si>
  <si>
    <t>R1, R2_ Integrated</t>
  </si>
  <si>
    <t>RES 0.11 OHM 1% 1/2W 0805</t>
  </si>
  <si>
    <t>RC0603FR-0720KL</t>
  </si>
  <si>
    <t>Yageo</t>
  </si>
  <si>
    <t>311-20.0KHRCT-ND</t>
  </si>
  <si>
    <t>R3, R5, R6, R7, R8, R9_ Integrated</t>
  </si>
  <si>
    <t>RES SMD 20K OHM 1% 1/10W 0603</t>
  </si>
  <si>
    <t>TC33X-2-203E</t>
  </si>
  <si>
    <t>Bourns Inc.</t>
  </si>
  <si>
    <t>TC33X-2-203ECT-ND</t>
  </si>
  <si>
    <t>R4_ Integrated</t>
  </si>
  <si>
    <t>TRIMMER 20K OHM 0.1W J LEAD TOP</t>
  </si>
  <si>
    <t>RMCF0603FT4K70</t>
  </si>
  <si>
    <t>Stackpole Electronics Inc</t>
  </si>
  <si>
    <t>RMCF0603FT4K70CT-ND</t>
  </si>
  <si>
    <t>R19_ Integrated</t>
  </si>
  <si>
    <t>RES 4.7K OHM 1% 1/10W 0603</t>
  </si>
  <si>
    <t>CRGCQ0603J470R</t>
  </si>
  <si>
    <t>TE Connectivity Passive Product</t>
  </si>
  <si>
    <t>A130089CT-ND</t>
  </si>
  <si>
    <t>R20_ Integrated</t>
  </si>
  <si>
    <t>19 Weeks</t>
  </si>
  <si>
    <t>CRGCQ 0603 470R 5%</t>
  </si>
  <si>
    <t>1825057-3</t>
  </si>
  <si>
    <t>TE Connectivity ALCOSWITCH Switches</t>
  </si>
  <si>
    <t>450-1364-ND</t>
  </si>
  <si>
    <t>SW1_ Integrated</t>
  </si>
  <si>
    <t>Tube</t>
  </si>
  <si>
    <t>23 Weeks</t>
  </si>
  <si>
    <t>SWITCH SLIDE DIP SPST 100MA 24V</t>
  </si>
  <si>
    <t>AS5047P-ATSM</t>
  </si>
  <si>
    <t>ams</t>
  </si>
  <si>
    <t>AS5047P-ATSMCT-ND</t>
  </si>
  <si>
    <t>U1_ Integrated</t>
  </si>
  <si>
    <t>14 Weeks</t>
  </si>
  <si>
    <t>ROTARY ENCODER MAGNETIC PROG</t>
  </si>
  <si>
    <t>TMC2209-LA-T</t>
  </si>
  <si>
    <t>Trinamic Motion Control GmbH</t>
  </si>
  <si>
    <t>1460-1398-1-ND</t>
  </si>
  <si>
    <t>U2_ Integrated</t>
  </si>
  <si>
    <t>6 Weeks</t>
  </si>
  <si>
    <t>IC MTR DRV 4.75-28V QFN28</t>
  </si>
  <si>
    <t>LMZM23601V5SILR</t>
  </si>
  <si>
    <t>Texas Instruments</t>
  </si>
  <si>
    <t>296-LMZM23601V5SILRCT-ND</t>
  </si>
  <si>
    <t>U3_ Integrated</t>
  </si>
  <si>
    <t>8 Weeks</t>
  </si>
  <si>
    <t>DC DC CONVERTER 5V</t>
  </si>
  <si>
    <t>MBR0520LT1G</t>
  </si>
  <si>
    <t>ON Semiconductor</t>
  </si>
  <si>
    <t>MBR0520LT1GOSCT-ND</t>
  </si>
  <si>
    <t>VD1, VD2_ Integrated</t>
  </si>
  <si>
    <t>DIODE SCHOTTKY 20V 500MA SOD123</t>
  </si>
  <si>
    <t>Integrated Stepper Driver PCB</t>
  </si>
  <si>
    <t>3_3V, 5V, 24V</t>
  </si>
  <si>
    <t>TAP106K025SCS</t>
  </si>
  <si>
    <t>AVX Corporation</t>
  </si>
  <si>
    <t>478-1841-ND</t>
  </si>
  <si>
    <t>C1, C2, C3</t>
  </si>
  <si>
    <t>CAP TANT 10UF 10% 25V RADIAL</t>
  </si>
  <si>
    <t>C1206C104K5RAC7800</t>
  </si>
  <si>
    <t>KEMET</t>
  </si>
  <si>
    <t>399-C1206C104K5RAC7800CT-ND</t>
  </si>
  <si>
    <t>C4, C6</t>
  </si>
  <si>
    <t>15 Weeks</t>
  </si>
  <si>
    <t>CAP CER 0.1UF 50V X7R 1206</t>
  </si>
  <si>
    <t>CL31B105KOFNNNE</t>
  </si>
  <si>
    <t>1276-1783-1-ND</t>
  </si>
  <si>
    <t>C5</t>
  </si>
  <si>
    <t>CAP CER 1UF 16V X7R 1206</t>
  </si>
  <si>
    <t>C11, C12</t>
  </si>
  <si>
    <t>690-005-299-043</t>
  </si>
  <si>
    <t>EDAC Inc.</t>
  </si>
  <si>
    <t>151-1206-1-ND</t>
  </si>
  <si>
    <t>J</t>
  </si>
  <si>
    <t>17 Weeks</t>
  </si>
  <si>
    <t>CONN RCPT USB2.0 MINI B SMD R/A</t>
  </si>
  <si>
    <t>J1, J2, J3, J4, J5, J6</t>
  </si>
  <si>
    <t>OSTTA020161</t>
  </si>
  <si>
    <t>ED2561-ND</t>
  </si>
  <si>
    <t>J7, J8, J9, J10, J11, J12, VIN (12 - 24V)</t>
  </si>
  <si>
    <t>TERM BLK 2POS SIDE ENTRY 5MM PCB</t>
  </si>
  <si>
    <t>Molex</t>
  </si>
  <si>
    <t>WM9315CT-ND</t>
  </si>
  <si>
    <t>J13</t>
  </si>
  <si>
    <t>CONN MICRO SD CARD PUSH-PULL R/A</t>
  </si>
  <si>
    <t>ESP32-WROOM-32E (8MB)</t>
  </si>
  <si>
    <t>Espressif Systems</t>
  </si>
  <si>
    <t>1965-ESP32-WROOM-32E(8MB)CT-ND</t>
  </si>
  <si>
    <t>M1</t>
  </si>
  <si>
    <t>RX TXRX MOD WIFI TRACE ANT SMD</t>
  </si>
  <si>
    <t>MBT2222ADW1T1G</t>
  </si>
  <si>
    <t>MBT2222ADW1T1GOSCT-ND</t>
  </si>
  <si>
    <t>Q1</t>
  </si>
  <si>
    <t>36 Weeks</t>
  </si>
  <si>
    <t>TRANS 2NPN 40V 0.6A SC88/SC70-6</t>
  </si>
  <si>
    <t>ERJ-6GEYJ822V</t>
  </si>
  <si>
    <t>P8.2KACT-ND</t>
  </si>
  <si>
    <t>R1, R2, R3, R4, R5, R6, R7, R8, R9, R10, R11, R1</t>
  </si>
  <si>
    <t>22 Weeks</t>
  </si>
  <si>
    <t>RES SMD 8.2K OHM 5% 1/8W 0805</t>
  </si>
  <si>
    <t>R19</t>
  </si>
  <si>
    <t>R20</t>
  </si>
  <si>
    <t>RC0603FR-07150RL</t>
  </si>
  <si>
    <t>311-150HRCT-ND</t>
  </si>
  <si>
    <t>R22</t>
  </si>
  <si>
    <t>RES SMD 150 OHM 1% 1/10W 0603</t>
  </si>
  <si>
    <t>1825910-6</t>
  </si>
  <si>
    <t>450-1650-ND</t>
  </si>
  <si>
    <t>S1, S2</t>
  </si>
  <si>
    <t>SWITCH TACTILE SPST-NO 0.05A 24V</t>
  </si>
  <si>
    <t>LM1117MPX-ADJ/NOPB</t>
  </si>
  <si>
    <t>LM1117MPX-ADJ/NOPBCT-ND</t>
  </si>
  <si>
    <t>U1</t>
  </si>
  <si>
    <t>12 Weeks</t>
  </si>
  <si>
    <t>IC REG LIN POS ADJ 800MA SOT223</t>
  </si>
  <si>
    <t>U2</t>
  </si>
  <si>
    <t>SN74AHCT595D</t>
  </si>
  <si>
    <t>296-14308-5-ND</t>
  </si>
  <si>
    <t>U3, U4, U6</t>
  </si>
  <si>
    <t>IC 8-BIT SHIFT REGISTER 16-SOIC</t>
  </si>
  <si>
    <t>SN74LVC3G14DCUT</t>
  </si>
  <si>
    <t>296-32334-1-ND</t>
  </si>
  <si>
    <t>U7</t>
  </si>
  <si>
    <t>IC INVERT SCHMITT 3CH 3IN 8VSSOP</t>
  </si>
  <si>
    <t>VD1, VD2</t>
  </si>
  <si>
    <t>CP2102-GMR</t>
  </si>
  <si>
    <t>Silicon Labs</t>
  </si>
  <si>
    <t>336-1160-1-ND</t>
  </si>
  <si>
    <t>U5</t>
  </si>
  <si>
    <t>Not For New Designs</t>
  </si>
  <si>
    <t>IC USB-TO-UART BRIDGE 28VQFN</t>
  </si>
  <si>
    <t>ESP32 GRBL Controller PCB</t>
  </si>
  <si>
    <t>Integrated Stepper Driver PCB BOM</t>
  </si>
  <si>
    <t>ESP32 GRBL Controller PCB BOM</t>
  </si>
  <si>
    <t>Main System Assembly</t>
  </si>
  <si>
    <t>Subtotal</t>
  </si>
  <si>
    <t>59145-040</t>
  </si>
  <si>
    <t>Littelfuse Inc.</t>
  </si>
  <si>
    <t>HE627-ND</t>
  </si>
  <si>
    <t>Mag Switch Reciever</t>
  </si>
  <si>
    <t>Box</t>
  </si>
  <si>
    <t>SENSOR REED SW SPST-NC W LEADS</t>
  </si>
  <si>
    <t>57145-000</t>
  </si>
  <si>
    <t>57145-000-ND</t>
  </si>
  <si>
    <t>Mag Switch Transmitter</t>
  </si>
  <si>
    <t>13 Weeks</t>
  </si>
  <si>
    <t>MAGNET 1.125"L X 0.259"W PLASTIC</t>
  </si>
  <si>
    <t>BC-5SE100M</t>
  </si>
  <si>
    <t>Bel Inc.</t>
  </si>
  <si>
    <t>1847-1059-ND</t>
  </si>
  <si>
    <t>CABLE MOD 8P8C PLUG-PLUG 32.81'</t>
  </si>
  <si>
    <t>LRS-350-24</t>
  </si>
  <si>
    <t>MEAN WELL USA Inc.</t>
  </si>
  <si>
    <t>1866-3346-ND</t>
  </si>
  <si>
    <t>Input Power</t>
  </si>
  <si>
    <t>AC/DC CONVERTER 24V 350W</t>
  </si>
  <si>
    <t>945-13541-0000-000</t>
  </si>
  <si>
    <t xml:space="preserve">Nvidia </t>
  </si>
  <si>
    <t>Main SBC</t>
  </si>
  <si>
    <t>Single Board Computer, NVidia Jetson Nano 2GB Development Kit</t>
  </si>
  <si>
    <t>Motor Connector Wire (30ft)</t>
  </si>
  <si>
    <t>Side Rail Assembly</t>
  </si>
  <si>
    <t>B07KPWJ3ZC</t>
  </si>
  <si>
    <t>AFUNTA</t>
  </si>
  <si>
    <t xml:space="preserve">Bearing Wheels </t>
  </si>
  <si>
    <t>N/A</t>
  </si>
  <si>
    <t>Big Plastic Pulley Wheels with Bearings Gear Perlin</t>
  </si>
  <si>
    <t>Roller Bracket Assembly</t>
  </si>
  <si>
    <t>Comments</t>
  </si>
  <si>
    <t>* Bought as a pack of 12 on Amazon, can be replaced with other brands. Price is estimated on $/Pack</t>
  </si>
  <si>
    <t>M5 Spring Loaded Tslot Nut</t>
  </si>
  <si>
    <t>Bag</t>
  </si>
  <si>
    <t>M5 Sized Tslot Nut with built in spring. 2020 Sized</t>
  </si>
  <si>
    <t>* Bought as a pack of 100. Price is estimated based on $/pack</t>
  </si>
  <si>
    <t>20-2040</t>
  </si>
  <si>
    <t>8020 Inc</t>
  </si>
  <si>
    <t>2040 Tslot</t>
  </si>
  <si>
    <t xml:space="preserve">* Unit price is estimated based on $0.28/in convertered to $/mm. </t>
  </si>
  <si>
    <t>150mm long 20mm x 40mm metric 20 series rectangular T-slot profile</t>
  </si>
  <si>
    <t>M5-0.8 x 12 mm Button Head Socket Cap</t>
  </si>
  <si>
    <t>MewuDecor</t>
  </si>
  <si>
    <t>B07VHNGBWJ</t>
  </si>
  <si>
    <t>POLISI3D</t>
  </si>
  <si>
    <t>Amazon Basics</t>
  </si>
  <si>
    <t>B07T4X4D2C</t>
  </si>
  <si>
    <t>Roll</t>
  </si>
  <si>
    <t xml:space="preserve">4mm Roller Spacer </t>
  </si>
  <si>
    <t xml:space="preserve">Spacer between Delrin Wheels and 2040 Tslot Extrusion. Price based on 3D print of PETG Filament </t>
  </si>
  <si>
    <t xml:space="preserve">* Price is estimated based on Cura Slicer weight estimates for 3D printed part and $/Kg of Amazon Basics PETG Filament </t>
  </si>
  <si>
    <t>Custom Sub Assembly</t>
  </si>
  <si>
    <t>Sub Assembly with defined BOM above</t>
  </si>
  <si>
    <t>Nema 23 Bracket</t>
  </si>
  <si>
    <t>ST-M2</t>
  </si>
  <si>
    <t>Vendor</t>
  </si>
  <si>
    <t>Amazon</t>
  </si>
  <si>
    <t>Custom</t>
  </si>
  <si>
    <t>Stepper Online</t>
  </si>
  <si>
    <t>Nema 23 Bracket for Stepper Motor and Geared Stepper Motor Alloy Steel Bracket</t>
  </si>
  <si>
    <t>1275mm long 20mm x 40mm metric 20 series rectangular T-slot profile</t>
  </si>
  <si>
    <t>Nema 23 Stepper Motor + Planetary Gearbox</t>
  </si>
  <si>
    <t>Nema 23 stepper motor with 56mm body and 2.8A rated current, integrated a planetary gearbox of 46.656:1 gear ratio</t>
  </si>
  <si>
    <t>23HS22-2804S-PG47</t>
  </si>
  <si>
    <t>90 Deg 4040 Bracket</t>
  </si>
  <si>
    <t>90 degree bracket used to mount carriage to vertical Tslot</t>
  </si>
  <si>
    <t>GT2 12mm Bore Aluminum Pulley</t>
  </si>
  <si>
    <t>LXMY1750</t>
  </si>
  <si>
    <t>LICTOP</t>
  </si>
  <si>
    <t xml:space="preserve">GT2 12mm Bore Aluminum 40 Teeth Timing Belt Idler Pulley for 3D Printer 6mm Width Timing Belt (Bore 12mm) </t>
  </si>
  <si>
    <t>Bottom Foot for side rail assembly</t>
  </si>
  <si>
    <t>DYWISHKEY</t>
  </si>
  <si>
    <t>M5 25mm Bolt</t>
  </si>
  <si>
    <t>M5 12mm Bolt</t>
  </si>
  <si>
    <t>* Bought as a variety pack on Amazon, can be replaced with other brands. Price is estimated on $/Pack</t>
  </si>
  <si>
    <t xml:space="preserve">DYWISHKEY 195 Pieces M5 x 6mm/8mm/10mm /12mm/16mm/20mm/25mm/30mm Stainless Steel 304 Hex Button Head Cap Bolts and Nuts Kit </t>
  </si>
  <si>
    <t>Idle Pulley Spacer</t>
  </si>
  <si>
    <t>Spacer between idle Delrin Wheel and Stepper Mount</t>
  </si>
  <si>
    <t>1275mm GT2 Timing Belt</t>
  </si>
  <si>
    <t>Belt used for pulley mechanism. GT2 size, 2mm pitch, 6mm width</t>
  </si>
  <si>
    <t>* Price is estimated based on a 5M pack bought on Amazon. Estimates come from $/5m Roll</t>
  </si>
  <si>
    <t>Mounting Brackets for updated Carriage assembly</t>
  </si>
  <si>
    <t>Top Carriage Assembly</t>
  </si>
  <si>
    <t>20-2020</t>
  </si>
  <si>
    <t>2020 Tslot</t>
  </si>
  <si>
    <t>300mm long 20mm x 20mm metric 20 series rectangular T-slot profile</t>
  </si>
  <si>
    <t>Nema 17 Stepper Motor + Planetary Gearbox</t>
  </si>
  <si>
    <t>17HS15-0854S-C1</t>
  </si>
  <si>
    <t>nema 17 stepper motor with step angle 1.8deg and size 42x42x39mm. It has 4 wires, each phase draws 0.85A at 5.4V, with holding torque 36Ncm (51oz.in).</t>
  </si>
  <si>
    <t>Nema 17 Bracket for Stepper Motor and Geared Stepper Motor Alloy Steel Bracket</t>
  </si>
  <si>
    <t>Nema 17 Bracket</t>
  </si>
  <si>
    <t>ST-M1</t>
  </si>
  <si>
    <t>2GT Timing Pulley</t>
  </si>
  <si>
    <t>BEMONOC</t>
  </si>
  <si>
    <t xml:space="preserve">* Price estimated from 5 pack on Amazon, can be replaced with any compatible GT2 Pulley (with 6mm bore) </t>
  </si>
  <si>
    <t xml:space="preserve">GT2 Pulley for Y-axis Carriage. Timing Pulley 20 Teeth 6mm Bore fit GT2 Belt Width 6mm and 3D Printer Parts </t>
  </si>
  <si>
    <t>B014KN70QE</t>
  </si>
  <si>
    <t>Small Idle Pulley</t>
  </si>
  <si>
    <t>Idle Pulley for tensioning between NEMA 17 and small belt</t>
  </si>
  <si>
    <t>684ZZ Ball Bearing</t>
  </si>
  <si>
    <t xml:space="preserve">uxcell </t>
  </si>
  <si>
    <t>B07FW1958S</t>
  </si>
  <si>
    <t>Ball Bearing for use with idle pulley tensioner system</t>
  </si>
  <si>
    <t>* Price Estimated from 10 pack on Amazon</t>
  </si>
  <si>
    <t>Spacer between Ball bearing and Stepper Face Mount</t>
  </si>
  <si>
    <t>3mmSpacer</t>
  </si>
  <si>
    <t>iExcell</t>
  </si>
  <si>
    <t xml:space="preserve">iExcell 100 Pcs 12.9 Grade M3 x 30/35/40/45/50 mm Alloy Steel Hex Socket Head Cap Screws Bolts Assortment Kit, Black Oxide Finish </t>
  </si>
  <si>
    <t>M3 30mm Bolt</t>
  </si>
  <si>
    <t>Sonku</t>
  </si>
  <si>
    <t>B07PTPB7BX</t>
  </si>
  <si>
    <t>Overall Cost</t>
  </si>
  <si>
    <t>Category</t>
  </si>
  <si>
    <t>Main Electrical System Assembly</t>
  </si>
  <si>
    <t>Mechanical</t>
  </si>
  <si>
    <t xml:space="preserve">Electrical </t>
  </si>
  <si>
    <t>2200mm long 20mm x 40mm metric 20 series rectangular T-slot profile</t>
  </si>
  <si>
    <t>Misc Mounting Material</t>
  </si>
  <si>
    <t>90Deg Bracket to mount 2 pieces of 4040 Extrusion</t>
  </si>
  <si>
    <t>Small Belt Clamp</t>
  </si>
  <si>
    <t>Clamp for constraining pulley belts</t>
  </si>
  <si>
    <t>1895mm long 20mm x 20mm metric 20 series rectangular T-slot profile</t>
  </si>
  <si>
    <t xml:space="preserve">90 degree bracket used to mount 2020 to 4060 (for exact seperation) </t>
  </si>
  <si>
    <t>Right Angle Bracket</t>
  </si>
  <si>
    <t>90Deg 4040 Flat Bracket</t>
  </si>
  <si>
    <t xml:space="preserve">Misc Mounting Material </t>
  </si>
  <si>
    <t>Height (m)</t>
  </si>
  <si>
    <t>Width (m)</t>
  </si>
  <si>
    <t>Length (m)</t>
  </si>
  <si>
    <t>Add-On Module</t>
  </si>
  <si>
    <t>2040 Tslot - Height</t>
  </si>
  <si>
    <t>2040 Tslot - Length</t>
  </si>
  <si>
    <t xml:space="preserve">2040 Tslot - Width </t>
  </si>
  <si>
    <t>Base Parameters</t>
  </si>
  <si>
    <t>Add-On Modules</t>
  </si>
  <si>
    <t>Number</t>
  </si>
  <si>
    <t>Bottom Stand</t>
  </si>
  <si>
    <t xml:space="preserve">XC5041 </t>
  </si>
  <si>
    <t xml:space="preserve">KOOTANS </t>
  </si>
  <si>
    <t>Link Connector</t>
  </si>
  <si>
    <t xml:space="preserve">Link Tslot nut to connect between modules </t>
  </si>
  <si>
    <t>Add On Module</t>
  </si>
  <si>
    <t>Total</t>
  </si>
  <si>
    <t>(ft)</t>
  </si>
  <si>
    <t>MODIFY THESE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</si>
</sst>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26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  <xf numFmtId="0" fontId="10" fillId="0" borderId="12" applyNumberFormat="0" applyFill="0" applyAlignment="0" applyProtection="0"/>
    <xf numFmtId="0" fontId="11" fillId="12" borderId="13" applyNumberFormat="0" applyAlignment="0" applyProtection="0"/>
    <xf numFmtId="0" fontId="1" fillId="13" borderId="14" applyNumberFormat="0" applyFont="0" applyAlignment="0" applyProtection="0"/>
  </cellStyleXfs>
  <cellXfs count="57">
    <xf numFmtId="0" fontId="0" fillId="0" borderId="0" xfId="0"/>
    <xf numFmtId="0" fontId="3" fillId="0" borderId="0" xfId="0" applyFont="1"/>
    <xf numFmtId="0" fontId="6" fillId="0" borderId="0" xfId="3" applyFont="1" applyFill="1" applyBorder="1"/>
    <xf numFmtId="0" fontId="4" fillId="0" borderId="0" xfId="3" applyFont="1" applyFill="1" applyBorder="1"/>
    <xf numFmtId="44" fontId="3" fillId="0" borderId="0" xfId="1" applyFont="1"/>
    <xf numFmtId="44" fontId="0" fillId="0" borderId="0" xfId="1" applyFont="1"/>
    <xf numFmtId="44" fontId="6" fillId="0" borderId="0" xfId="1" applyFont="1" applyFill="1" applyBorder="1"/>
    <xf numFmtId="44" fontId="0" fillId="0" borderId="0" xfId="0" applyNumberFormat="1"/>
    <xf numFmtId="0" fontId="0" fillId="0" borderId="5" xfId="0" applyFont="1" applyBorder="1"/>
    <xf numFmtId="0" fontId="6" fillId="0" borderId="0" xfId="3" applyFont="1" applyFill="1"/>
    <xf numFmtId="44" fontId="0" fillId="0" borderId="5" xfId="1" applyNumberFormat="1" applyFont="1" applyBorder="1"/>
    <xf numFmtId="0" fontId="4" fillId="6" borderId="0" xfId="3" applyNumberFormat="1" applyFont="1" applyFill="1" applyBorder="1" applyAlignment="1"/>
    <xf numFmtId="0" fontId="0" fillId="0" borderId="0" xfId="0" applyFont="1" applyBorder="1"/>
    <xf numFmtId="44" fontId="0" fillId="0" borderId="0" xfId="1" applyNumberFormat="1" applyFont="1" applyBorder="1"/>
    <xf numFmtId="0" fontId="4" fillId="3" borderId="7" xfId="0" applyFont="1" applyFill="1" applyBorder="1"/>
    <xf numFmtId="0" fontId="4" fillId="3" borderId="0" xfId="0" applyFont="1" applyFill="1" applyBorder="1"/>
    <xf numFmtId="44" fontId="4" fillId="3" borderId="0" xfId="1" applyNumberFormat="1" applyFont="1" applyFill="1" applyBorder="1"/>
    <xf numFmtId="0" fontId="4" fillId="3" borderId="8" xfId="0" applyFont="1" applyFill="1" applyBorder="1"/>
    <xf numFmtId="0" fontId="4" fillId="3" borderId="0" xfId="0" applyFont="1" applyFill="1"/>
    <xf numFmtId="0" fontId="4" fillId="0" borderId="4" xfId="0" applyFont="1" applyFill="1" applyBorder="1"/>
    <xf numFmtId="0" fontId="4" fillId="0" borderId="2" xfId="0" applyFont="1" applyFill="1" applyBorder="1"/>
    <xf numFmtId="44" fontId="4" fillId="0" borderId="2" xfId="1" applyNumberFormat="1" applyFont="1" applyFill="1" applyBorder="1"/>
    <xf numFmtId="0" fontId="4" fillId="0" borderId="3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44" fontId="4" fillId="0" borderId="0" xfId="1" applyNumberFormat="1" applyFont="1" applyFill="1" applyBorder="1"/>
    <xf numFmtId="0" fontId="4" fillId="0" borderId="8" xfId="0" applyFont="1" applyFill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44" fontId="0" fillId="0" borderId="0" xfId="1" applyNumberFormat="1" applyFont="1"/>
    <xf numFmtId="0" fontId="0" fillId="0" borderId="0" xfId="0" applyFill="1"/>
    <xf numFmtId="44" fontId="0" fillId="0" borderId="0" xfId="1" applyFont="1" applyFill="1"/>
    <xf numFmtId="44" fontId="0" fillId="0" borderId="0" xfId="0" applyNumberFormat="1" applyFill="1"/>
    <xf numFmtId="44" fontId="0" fillId="0" borderId="0" xfId="1" applyNumberFormat="1" applyFont="1" applyFill="1"/>
    <xf numFmtId="44" fontId="0" fillId="0" borderId="0" xfId="0" quotePrefix="1" applyNumberFormat="1"/>
    <xf numFmtId="0" fontId="0" fillId="0" borderId="10" xfId="0" applyFont="1" applyFill="1" applyBorder="1"/>
    <xf numFmtId="0" fontId="0" fillId="0" borderId="9" xfId="0" applyFont="1" applyFill="1" applyBorder="1"/>
    <xf numFmtId="0" fontId="0" fillId="13" borderId="14" xfId="6" applyFont="1"/>
    <xf numFmtId="0" fontId="11" fillId="12" borderId="13" xfId="5"/>
    <xf numFmtId="0" fontId="0" fillId="13" borderId="0" xfId="6" applyFont="1" applyBorder="1"/>
    <xf numFmtId="0" fontId="12" fillId="2" borderId="1" xfId="2" applyFont="1"/>
    <xf numFmtId="44" fontId="12" fillId="2" borderId="1" xfId="2" applyNumberFormat="1" applyFont="1"/>
    <xf numFmtId="44" fontId="0" fillId="0" borderId="9" xfId="1" applyFont="1" applyBorder="1"/>
    <xf numFmtId="44" fontId="0" fillId="0" borderId="9" xfId="1" applyFont="1" applyFill="1" applyBorder="1"/>
    <xf numFmtId="0" fontId="13" fillId="0" borderId="0" xfId="0" applyFont="1"/>
    <xf numFmtId="0" fontId="10" fillId="11" borderId="12" xfId="4" applyFill="1"/>
    <xf numFmtId="0" fontId="5" fillId="9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9" fillId="10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</cellXfs>
  <cellStyles count="7">
    <cellStyle name="Currency" xfId="1" builtinId="4"/>
    <cellStyle name="Heading 2" xfId="4" builtinId="17"/>
    <cellStyle name="Input" xfId="5" builtinId="20"/>
    <cellStyle name="Normal" xfId="0" builtinId="0"/>
    <cellStyle name="Normal 2" xfId="3" xr:uid="{9D42AC17-3034-42BC-B655-FD48A2F0F667}"/>
    <cellStyle name="Note" xfId="6" builtinId="10"/>
    <cellStyle name="Output" xfId="2" builtinId="21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9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border outline="0">
        <top style="thin">
          <color theme="9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5"/>
          <bgColor theme="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89F622-D48C-46EA-96AA-41B0884FFA52}" name="Table13" displayName="Table13" ref="A2:I9" totalsRowShown="0" headerRowDxfId="82">
  <autoFilter ref="A2:I9" xr:uid="{68A6F1D8-FEED-47EA-906C-768CE612E1F0}"/>
  <tableColumns count="9">
    <tableColumn id="1" xr3:uid="{1C4C2997-D62C-4993-A88D-33BDE9A5D934}" name="Manufacturer Part Number"/>
    <tableColumn id="2" xr3:uid="{12EB43DB-2BD8-4FFD-B48B-5C8C35CE848F}" name="Vendor"/>
    <tableColumn id="3" xr3:uid="{7FB24B5C-C6CD-41DC-A94B-1034232532D2}" name="Customer Reference"/>
    <tableColumn id="4" xr3:uid="{5FF9DFE0-1CDD-4783-8665-FD1FFBD1A64E}" name="Quantity"/>
    <tableColumn id="5" xr3:uid="{734760D5-EC2D-4EA0-8E69-A372A88E5237}" name="Unit Price" dataDxfId="81">
      <calculatedColumnFormula>Overall!I29</calculatedColumnFormula>
    </tableColumn>
    <tableColumn id="6" xr3:uid="{1DEFD9D4-8D71-4994-9ED5-1DE782BBB5B8}" name="Extended Price">
      <calculatedColumnFormula>Table13[[#This Row],[Unit Price]]*Table13[[#This Row],[Quantity]]</calculatedColumnFormula>
    </tableColumn>
    <tableColumn id="7" xr3:uid="{64B8AC95-4B9E-4C42-B725-83EB2EFB9B6C}" name="Quantity Available"/>
    <tableColumn id="8" xr3:uid="{DD32428D-BE6C-4C2A-B030-86AFE18F2741}" name="Description"/>
    <tableColumn id="9" xr3:uid="{30F6C134-773F-46AA-AC9B-B251DBCB4FE4}" name="Category"/>
  </tableColumns>
  <tableStyleInfo name="TableStyleDark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D8DE9-2DF6-4639-8D5D-1D3F411550FF}" name="Table1" displayName="Table1" ref="A2:O23" totalsRowShown="0" headerRowDxfId="80">
  <autoFilter ref="A2:O23" xr:uid="{4CC865C4-70F4-4E79-B894-F6854082DA6C}"/>
  <tableColumns count="15">
    <tableColumn id="1" xr3:uid="{94934CA5-B853-46A9-A868-2C7E751C9D63}" name="Manufacturer Part Number"/>
    <tableColumn id="2" xr3:uid="{1C522A9A-89DE-465E-AC5C-7908650F27E3}" name="Manufacturer"/>
    <tableColumn id="3" xr3:uid="{E742393B-CF6C-4726-860E-C94B856C996B}" name="Digi-Key Part Number"/>
    <tableColumn id="4" xr3:uid="{E0EBABF2-EBF9-4BF8-9EBE-EF043BD535AB}" name="Customer Reference"/>
    <tableColumn id="5" xr3:uid="{0E4320DD-05F2-4550-923E-5AE7397A7182}" name="Packaging"/>
    <tableColumn id="6" xr3:uid="{B57BF312-41D4-4549-87BE-4ECD5A5770A1}" name="Part Status"/>
    <tableColumn id="7" xr3:uid="{13614D4E-76BD-42CD-A5D0-35C0695CE406}" name="Quantity"/>
    <tableColumn id="8" xr3:uid="{37AAA893-D147-47AE-8C6B-9E947983FF89}" name="Unit Price"/>
    <tableColumn id="9" xr3:uid="{F113474A-3F70-47FC-A1D7-3F47C210EDAA}" name="Extended Price" dataCellStyle="Currency"/>
    <tableColumn id="10" xr3:uid="{C6EE3B43-AC29-4D9A-843A-B6D043E0A8A7}" name="Quantity Available"/>
    <tableColumn id="11" xr3:uid="{53131A5B-4E6C-4C8D-86E3-7F683780B10D}" name="Mfg Std Lead Time"/>
    <tableColumn id="12" xr3:uid="{9A0D62CD-7DAB-4213-987C-1C4DFCCF3019}" name="Description"/>
    <tableColumn id="13" xr3:uid="{CCC9840A-11B7-4166-9169-F02EE8DFF88C}" name="RoHS Status"/>
    <tableColumn id="14" xr3:uid="{917C109C-9EEC-484B-AD18-3D23E14A7876}" name="Lead Free Status"/>
    <tableColumn id="15" xr3:uid="{ACA931CA-038D-4B73-BAD0-27ED4121170E}" name="REACH Status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B47C9D-53AE-490D-9D1B-D29177F34A8D}" name="Table2" displayName="Table2" ref="A26:O51" totalsRowShown="0" headerRowDxfId="79" dataDxfId="78" headerRowCellStyle="Normal 2" dataCellStyle="Normal 2">
  <autoFilter ref="A26:O51" xr:uid="{3D413324-657D-4CBA-A833-F88007EF4264}"/>
  <tableColumns count="15">
    <tableColumn id="1" xr3:uid="{B2E70E41-9E16-49CA-A688-7AC18C1ED016}" name="Manufacturer Part Number" dataDxfId="77" dataCellStyle="Normal 2"/>
    <tableColumn id="2" xr3:uid="{6B59215C-904B-43A0-9B4A-AB0E67299905}" name="Manufacturer" dataDxfId="76" dataCellStyle="Normal 2"/>
    <tableColumn id="3" xr3:uid="{DD20B8A8-53CD-4A48-AEE1-70BA807C8EEA}" name="Digi-Key Part Number" dataDxfId="75" dataCellStyle="Normal 2"/>
    <tableColumn id="4" xr3:uid="{D6FF6B24-3A2F-4CC8-A2BF-EC9E5C63F221}" name="Customer Reference" dataDxfId="74" dataCellStyle="Normal 2"/>
    <tableColumn id="6" xr3:uid="{00154DED-35B4-4DC6-A5CA-366FDF6CF4A8}" name="Packaging" dataDxfId="73" dataCellStyle="Normal 2"/>
    <tableColumn id="7" xr3:uid="{7510C95A-484A-4DC4-9287-E7E4048CE55F}" name="Part Status" dataDxfId="72" dataCellStyle="Normal 2"/>
    <tableColumn id="8" xr3:uid="{86130162-85F0-4EF0-90A3-60A56AACDF7B}" name="Quantity" dataDxfId="71" dataCellStyle="Normal 2"/>
    <tableColumn id="9" xr3:uid="{A253EF67-AEDC-4815-89E7-BF69910B09B6}" name="Unit Price" dataDxfId="70" dataCellStyle="Normal 2"/>
    <tableColumn id="10" xr3:uid="{92B290F7-25C2-4F72-A522-FCE1AA821946}" name="Extended Price" dataDxfId="69" dataCellStyle="Currency"/>
    <tableColumn id="11" xr3:uid="{513AEB4C-DFAB-4E29-92B7-65C904FF7D01}" name="Quantity Available" dataDxfId="68" dataCellStyle="Normal 2"/>
    <tableColumn id="12" xr3:uid="{69413C94-7AF0-479A-AEDD-64F66D6F47DE}" name="Mfg Std Lead Time" dataDxfId="67" dataCellStyle="Normal 2"/>
    <tableColumn id="13" xr3:uid="{7240CA0E-359D-4DB8-8A48-E5A9E8C25292}" name="Description" dataDxfId="66" dataCellStyle="Normal 2"/>
    <tableColumn id="14" xr3:uid="{83DDBE5C-9AB8-432E-B6EC-0900714F0852}" name="RoHS Status" dataDxfId="65" dataCellStyle="Normal 2"/>
    <tableColumn id="15" xr3:uid="{E5A739E3-772E-4109-84A6-8264447B7682}" name="Lead Free Status" dataDxfId="64" dataCellStyle="Normal 2"/>
    <tableColumn id="16" xr3:uid="{4317AFA4-A1A2-480B-9930-78E13685E7A5}" name="REACH Status" dataDxfId="63" dataCellStyle="Normal 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F21E7A-B121-45DE-A450-51DFD62AB368}" name="Table5" displayName="Table5" ref="A54:O62" totalsRowShown="0" headerRowDxfId="62" dataDxfId="61" tableBorderDxfId="60" headerRowCellStyle="Normal 2">
  <autoFilter ref="A54:O62" xr:uid="{E5775DE7-B0D6-434B-9E81-8E797CB33C8F}"/>
  <tableColumns count="15">
    <tableColumn id="1" xr3:uid="{20A9B34A-0BDE-406C-9284-42396D12E1E8}" name="Manufacturer Part Number" dataDxfId="59"/>
    <tableColumn id="2" xr3:uid="{370D2A53-7D06-4073-A070-AAD23FF99906}" name="Manufacturer" dataDxfId="58"/>
    <tableColumn id="3" xr3:uid="{C2834F26-8D66-4C19-8B65-AAA5D1688301}" name="Digi-Key Part Number" dataDxfId="57"/>
    <tableColumn id="4" xr3:uid="{FB6416D0-BFFD-46A4-B485-8DCAF43A11AB}" name="Customer Reference" dataDxfId="56"/>
    <tableColumn id="5" xr3:uid="{56A695A0-C403-4B74-B146-F0D3B63EA053}" name="Packaging" dataDxfId="55"/>
    <tableColumn id="6" xr3:uid="{20E6FA99-F191-48F9-ACD1-BC6CF10711CE}" name="Part Status" dataDxfId="54"/>
    <tableColumn id="7" xr3:uid="{35B7773A-8FD8-428B-873D-343086AC7F9A}" name="Quantity" dataDxfId="53"/>
    <tableColumn id="8" xr3:uid="{7E0C5B7A-E6F5-442F-8138-B9CC70588614}" name="Unit Price" dataDxfId="52" dataCellStyle="Currency"/>
    <tableColumn id="9" xr3:uid="{AC6F2354-427F-4590-BBC4-C2CCD5E5D76F}" name="Extended Price" dataDxfId="51" dataCellStyle="Currency"/>
    <tableColumn id="10" xr3:uid="{9CB6BCD3-C29A-4EEB-8E62-7BD5605AC29E}" name="Quantity Available" dataDxfId="50"/>
    <tableColumn id="11" xr3:uid="{B7AA4FE9-D5A6-41AB-8B53-DEDADD7AB2C1}" name="Mfg Std Lead Time" dataDxfId="49"/>
    <tableColumn id="12" xr3:uid="{08002C5C-4042-403A-B796-9C757374529C}" name="Description" dataDxfId="48"/>
    <tableColumn id="13" xr3:uid="{C1F04F0D-0F9F-4D6E-B682-02A8FAA992EC}" name="RoHS Status" dataDxfId="47"/>
    <tableColumn id="14" xr3:uid="{DACC60B8-D45B-4197-BD16-E6A586A16303}" name="Lead Free Status" dataDxfId="46"/>
    <tableColumn id="15" xr3:uid="{068DA1C5-D89C-4B2F-A7BC-588FDBF44AE5}" name="REACH Status" dataDxfId="45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0C90D9-5591-435D-9A57-6D1C4B7BEFD8}" name="RBA" displayName="RBA" ref="A2:P7" totalsRowShown="0" headerRowDxfId="44" tableBorderDxfId="43">
  <autoFilter ref="A2:P7" xr:uid="{AEB73607-C281-450A-B481-305282F70C69}"/>
  <tableColumns count="16">
    <tableColumn id="1" xr3:uid="{FD6968EB-79A4-4D7C-9A50-5CB4B2C7F6A1}" name="Manufacturer Part Number"/>
    <tableColumn id="2" xr3:uid="{FD72A6D3-3FA6-44FD-BE25-FCB2629A8650}" name="Manufacturer"/>
    <tableColumn id="3" xr3:uid="{FBD32599-1A4D-424A-8719-4F7BD1A4A1E9}" name="Vendor"/>
    <tableColumn id="4" xr3:uid="{56DC7F47-3AA0-4240-A13D-608EDE41FE13}" name="Customer Reference"/>
    <tableColumn id="5" xr3:uid="{3685AB61-DFAC-418E-BCFE-4993C81E4D37}" name="Packaging"/>
    <tableColumn id="6" xr3:uid="{CE1E7289-E677-4EA0-9B48-3A318464CEA0}" name="Part Status"/>
    <tableColumn id="7" xr3:uid="{F0F5876B-95C1-478E-8B99-8AEBD1E7881B}" name="Quantity"/>
    <tableColumn id="8" xr3:uid="{B40EFB75-6CA1-477E-9AD7-709CC91C4315}" name="Unit Price" dataCellStyle="Currency"/>
    <tableColumn id="9" xr3:uid="{B0B7854F-DDE7-47AE-9A7E-F28BB95FD02B}" name="Extended Price" dataCellStyle="Currency">
      <calculatedColumnFormula>RBA[[#This Row],[Unit Price]]*RBA[[#This Row],[Quantity]]</calculatedColumnFormula>
    </tableColumn>
    <tableColumn id="10" xr3:uid="{E5719B14-4B43-45E0-9D95-85CA6A06C900}" name="Quantity Available"/>
    <tableColumn id="11" xr3:uid="{B05BC704-9E3F-4FAA-93E0-0E40149B11DC}" name="Mfg Std Lead Time"/>
    <tableColumn id="12" xr3:uid="{8589D8DE-47FD-4218-9333-6F648F426D7F}" name="Description"/>
    <tableColumn id="13" xr3:uid="{465DD4A5-859F-46F5-9C85-1509961757EE}" name="RoHS Status"/>
    <tableColumn id="14" xr3:uid="{73913795-6117-436B-B629-CC116D2620D9}" name="Lead Free Status"/>
    <tableColumn id="15" xr3:uid="{967AF6EA-0F78-4720-A5AD-BD888846FB7B}" name="REACH Status"/>
    <tableColumn id="16" xr3:uid="{4576B4C5-9D18-4D3C-B2CB-6A2D043ADC2A}" name="Comments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4753B2-6057-4DAC-98D4-567DB67F9ED1}" name="SRA" displayName="SRA" ref="A11:P29" totalsRowShown="0" headerRowDxfId="42" tableBorderDxfId="41">
  <autoFilter ref="A11:P29" xr:uid="{8D158F84-85D0-468C-8C60-6896E014E9D8}"/>
  <tableColumns count="16">
    <tableColumn id="1" xr3:uid="{3B2B4DD7-772A-4E3D-8DC6-B86B6A94EB1C}" name="Manufacturer Part Number"/>
    <tableColumn id="2" xr3:uid="{B05035E2-8902-4AF5-91D5-ADC2BA8B6A5B}" name="Manufacturer"/>
    <tableColumn id="3" xr3:uid="{1F613FA2-9E8B-4756-8E73-10EEF0A49D66}" name="Vendor"/>
    <tableColumn id="4" xr3:uid="{564D341F-0C97-44E5-B40D-6BD469167724}" name="Customer Reference"/>
    <tableColumn id="5" xr3:uid="{2A6964F6-C2FE-449A-8674-AD5688757EE3}" name="Packaging"/>
    <tableColumn id="6" xr3:uid="{4E1502BD-A328-4A83-8175-DBDC791A20BB}" name="Part Status"/>
    <tableColumn id="7" xr3:uid="{E0DA62D4-AE4D-408C-9CF7-0DD031F3B828}" name="Quantity"/>
    <tableColumn id="8" xr3:uid="{9F5AF217-6F78-4B1C-8CD9-7F3CF5B16A4B}" name="Unit Price" dataDxfId="40" dataCellStyle="Currency">
      <calculatedColumnFormula>SUM(RBA[Extended Price])</calculatedColumnFormula>
    </tableColumn>
    <tableColumn id="9" xr3:uid="{F312066B-E13E-4AFF-B7D3-4005A294EE91}" name="Extended Price" dataDxfId="39" dataCellStyle="Currency">
      <calculatedColumnFormula>SRA[[#This Row],[Quantity]]*SRA[[#This Row],[Unit Price]]</calculatedColumnFormula>
    </tableColumn>
    <tableColumn id="10" xr3:uid="{7560DD9E-4DF4-408A-8F1F-26334960DAA1}" name="Quantity Available"/>
    <tableColumn id="11" xr3:uid="{5C1BBD85-D196-4939-B0BD-2B341F54E26C}" name="Mfg Std Lead Time"/>
    <tableColumn id="12" xr3:uid="{D8CB8D68-7369-4198-8BB3-D19FD2F88BB1}" name="Description"/>
    <tableColumn id="13" xr3:uid="{1A80307A-6FA1-49C7-B8B6-9665E00B70EB}" name="RoHS Status"/>
    <tableColumn id="14" xr3:uid="{D8574FC4-D73B-44B0-9B8A-0828E567198A}" name="Lead Free Status"/>
    <tableColumn id="15" xr3:uid="{7E0988CE-40C7-46BC-A407-C0CBE7461E66}" name="REACH Status"/>
    <tableColumn id="16" xr3:uid="{6135ABE1-F129-4848-8DB1-B6B1720CBF43}" name="Comment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3919E9B-C194-4BBF-AFA9-1F8C56ED144E}" name="TCA" displayName="TCA" ref="A33:P46" totalsRowShown="0" headerRowDxfId="38" dataDxfId="37" tableBorderDxfId="36">
  <autoFilter ref="A33:P46" xr:uid="{9555F7CD-18F8-4D46-84A7-EF7650D34002}"/>
  <tableColumns count="16">
    <tableColumn id="1" xr3:uid="{8A761B0A-00F9-4C78-8783-A04399F90AE9}" name="Manufacturer Part Number" dataDxfId="35"/>
    <tableColumn id="2" xr3:uid="{039684A3-BB9E-4242-9748-85D76615FAAC}" name="Manufacturer" dataDxfId="34"/>
    <tableColumn id="3" xr3:uid="{B44D91E1-C285-4F27-96F3-E611B7FD3D3D}" name="Vendor" dataDxfId="33"/>
    <tableColumn id="4" xr3:uid="{C42AE529-C20B-42AB-8787-0BBA20100488}" name="Customer Reference" dataDxfId="32"/>
    <tableColumn id="5" xr3:uid="{D7A391DA-EC7B-4C32-A9DC-7DC614E9F8B4}" name="Packaging" dataDxfId="31"/>
    <tableColumn id="6" xr3:uid="{FB3982F6-4CEB-456D-91DA-6879304CD784}" name="Part Status" dataDxfId="30"/>
    <tableColumn id="7" xr3:uid="{542A82D5-9ECA-4193-8348-A6EF03D52DB6}" name="Quantity" dataDxfId="29"/>
    <tableColumn id="8" xr3:uid="{2322E437-B48D-4D1C-9E35-980121B21FAA}" name="Unit Price" dataDxfId="28" dataCellStyle="Currency">
      <calculatedColumnFormula>0.16/25.4</calculatedColumnFormula>
    </tableColumn>
    <tableColumn id="9" xr3:uid="{90336315-D93B-4B0E-A172-9DC702058042}" name="Extended Price" dataDxfId="27">
      <calculatedColumnFormula>TCA[[#This Row],[Quantity]]*TCA[[#This Row],[Unit Price]]</calculatedColumnFormula>
    </tableColumn>
    <tableColumn id="10" xr3:uid="{26219733-EDA6-4853-B470-2C2A894A77FE}" name="Quantity Available" dataDxfId="26"/>
    <tableColumn id="11" xr3:uid="{BB5C831D-E6BE-4FB0-8EF9-6A3FDD2750E5}" name="Mfg Std Lead Time" dataDxfId="25"/>
    <tableColumn id="12" xr3:uid="{A1906DFC-C069-4F45-86D0-091FF2277624}" name="Description" dataDxfId="24"/>
    <tableColumn id="13" xr3:uid="{D67BB079-A792-4E63-B1A7-BC92BC122B49}" name="RoHS Status" dataDxfId="23"/>
    <tableColumn id="14" xr3:uid="{91B626FC-ECF3-4035-9BAA-C5FD497F4014}" name="Lead Free Status" dataDxfId="22"/>
    <tableColumn id="15" xr3:uid="{1B64D22F-0AF1-4BEA-8A17-37F6B15C0CBD}" name="REACH Status" dataDxfId="21"/>
    <tableColumn id="16" xr3:uid="{7696DDF9-FB5F-4587-B499-62FE20BCD21E}" name="Comments" dataDxfId="2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62C1925-2741-4345-A9BA-6DE8C8777635}" name="MMM" displayName="MMM" ref="A50:P54" totalsRowShown="0" headerRowDxfId="19" tableBorderDxfId="18">
  <autoFilter ref="A50:P54" xr:uid="{6B3ABA90-F644-49AE-B4A8-35B1AE8BB9A5}"/>
  <tableColumns count="16">
    <tableColumn id="1" xr3:uid="{55199B66-3D12-4C28-A09F-87A3B104FC68}" name="Manufacturer Part Number" dataDxfId="17"/>
    <tableColumn id="2" xr3:uid="{55B8FCE8-0041-41DD-BE33-B59C91223D97}" name="Manufacturer" dataDxfId="16"/>
    <tableColumn id="3" xr3:uid="{F9D1C8BD-424D-412A-8D79-3E77A2B6C928}" name="Vendor" dataDxfId="15"/>
    <tableColumn id="4" xr3:uid="{39AB8B31-71F8-4FF2-ADFA-6106BBCFAA99}" name="Customer Reference" dataDxfId="14"/>
    <tableColumn id="5" xr3:uid="{20C148B6-29C5-432C-8CE2-2E16763CA5B8}" name="Packaging" dataDxfId="13"/>
    <tableColumn id="6" xr3:uid="{71763499-3C49-4FC8-B422-C8284962915C}" name="Part Status" dataDxfId="12"/>
    <tableColumn id="7" xr3:uid="{F576BBA0-9D66-4E33-947B-507B7915A42F}" name="Quantity" dataDxfId="11"/>
    <tableColumn id="8" xr3:uid="{E340C809-49A6-4A51-BC03-279B852F3B6D}" name="Unit Price" dataDxfId="10" dataCellStyle="Currency">
      <calculatedColumnFormula>22.64*0.044</calculatedColumnFormula>
    </tableColumn>
    <tableColumn id="9" xr3:uid="{41A5AFE4-2471-4E87-9105-41FD03C35944}" name="Extended Price" dataCellStyle="Currency">
      <calculatedColumnFormula>MMM[[#This Row],[Unit Price]]*MMM[[#This Row],[Quantity]]</calculatedColumnFormula>
    </tableColumn>
    <tableColumn id="10" xr3:uid="{12456AE6-1DEB-4E73-B976-421D0E4FBCFC}" name="Quantity Available"/>
    <tableColumn id="11" xr3:uid="{083B3A15-56FA-45E4-9D22-55390475D5E1}" name="Mfg Std Lead Time"/>
    <tableColumn id="12" xr3:uid="{B597A4DC-20B0-49F7-9056-56741D000766}" name="Description"/>
    <tableColumn id="13" xr3:uid="{592A3580-C207-4F37-B577-C10A502063BC}" name="RoHS Status"/>
    <tableColumn id="14" xr3:uid="{1544675B-F422-495B-BFC0-586D6BED0566}" name="Lead Free Status"/>
    <tableColumn id="15" xr3:uid="{9C7AB920-3D19-416F-84D4-A577948E2ACA}" name="REACH Status"/>
    <tableColumn id="16" xr3:uid="{0EF2BAB5-9E4D-48D4-8C1F-3EA31024B9D3}" name="Comments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2D31C1B-02D6-439E-9999-0C254C9510C2}" name="AOM" displayName="AOM" ref="A61:P68" totalsRowShown="0" headerRowDxfId="9" tableBorderDxfId="8">
  <autoFilter ref="A61:P68" xr:uid="{EF8B1442-0279-40CF-B96C-63E7432E59D3}"/>
  <tableColumns count="16">
    <tableColumn id="1" xr3:uid="{0CDC8F98-CF38-4C1B-9A34-3111EC3C83AB}" name="Manufacturer Part Number" dataDxfId="7"/>
    <tableColumn id="2" xr3:uid="{BE957CC1-711C-43E7-A8F6-141565D660C4}" name="Manufacturer" dataDxfId="6"/>
    <tableColumn id="3" xr3:uid="{C8C5BEE8-2CD5-4387-B141-B3743FD89A0F}" name="Vendor" dataDxfId="5"/>
    <tableColumn id="4" xr3:uid="{D5D77B30-7834-47F4-8E37-770AFA34EA4E}" name="Customer Reference" dataDxfId="4"/>
    <tableColumn id="5" xr3:uid="{874B3E4F-CE5D-44A4-8B6E-24C840A3A249}" name="Packaging" dataDxfId="3"/>
    <tableColumn id="6" xr3:uid="{A1969624-BBA0-460D-B49A-2A7BFB3AC4E8}" name="Part Status" dataDxfId="2"/>
    <tableColumn id="7" xr3:uid="{8FB15A43-4134-4964-9018-254357046091}" name="Quantity" dataDxfId="1"/>
    <tableColumn id="8" xr3:uid="{57668411-E27B-4E4E-A52D-ED6E082231E0}" name="Unit Price" dataDxfId="0" dataCellStyle="Currency"/>
    <tableColumn id="9" xr3:uid="{10261EC7-6904-448F-AD12-99364503534E}" name="Extended Price" dataCellStyle="Currency">
      <calculatedColumnFormula>AOM[[#This Row],[Unit Price]]*AOM[[#This Row],[Quantity]]</calculatedColumnFormula>
    </tableColumn>
    <tableColumn id="10" xr3:uid="{93D26A22-B6C6-4748-95BC-32B18E7012D8}" name="Quantity Available"/>
    <tableColumn id="11" xr3:uid="{F4051D35-C716-4F6E-B9F7-FAA9799CB74C}" name="Mfg Std Lead Time"/>
    <tableColumn id="12" xr3:uid="{0A7A1AF5-EC9D-4C71-9FB3-FCDB4E2B48B2}" name="Description"/>
    <tableColumn id="13" xr3:uid="{8E185D5D-ADD1-4091-B750-CE76F7F4E682}" name="RoHS Status"/>
    <tableColumn id="14" xr3:uid="{05C21CC3-FBC1-47CD-9677-0D8C5B36B772}" name="Lead Free Status"/>
    <tableColumn id="15" xr3:uid="{4C52095B-66F2-4531-A1AD-D9133DAAE62C}" name="REACH Status"/>
    <tableColumn id="16" xr3:uid="{3795DEDF-E7AB-4E8A-B231-90083E402C0D}" name="Comment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5D0B-A61F-416F-933C-0297DCE53E09}">
  <dimension ref="A1:R9"/>
  <sheetViews>
    <sheetView tabSelected="1" workbookViewId="0">
      <selection activeCell="K14" sqref="K14"/>
    </sheetView>
  </sheetViews>
  <sheetFormatPr defaultRowHeight="15" x14ac:dyDescent="0.25"/>
  <cols>
    <col min="1" max="1" width="27.5703125" bestFit="1" customWidth="1"/>
    <col min="2" max="2" width="9.85546875" bestFit="1" customWidth="1"/>
    <col min="3" max="3" width="30.42578125" bestFit="1" customWidth="1"/>
    <col min="4" max="4" width="11" bestFit="1" customWidth="1"/>
    <col min="5" max="5" width="12" bestFit="1" customWidth="1"/>
    <col min="6" max="6" width="18.140625" bestFit="1" customWidth="1"/>
    <col min="7" max="7" width="20" bestFit="1" customWidth="1"/>
    <col min="8" max="8" width="13.42578125" bestFit="1" customWidth="1"/>
    <col min="9" max="9" width="11.140625" bestFit="1" customWidth="1"/>
    <col min="11" max="11" width="13.42578125" bestFit="1" customWidth="1"/>
    <col min="12" max="12" width="17.140625" bestFit="1" customWidth="1"/>
    <col min="13" max="13" width="10.5703125" bestFit="1" customWidth="1"/>
    <col min="14" max="14" width="11.5703125" customWidth="1"/>
    <col min="16" max="16" width="14.5703125" customWidth="1"/>
    <col min="17" max="17" width="17.5703125" customWidth="1"/>
  </cols>
  <sheetData>
    <row r="1" spans="1:18" ht="33.75" x14ac:dyDescent="0.5">
      <c r="A1" s="47" t="s">
        <v>319</v>
      </c>
      <c r="B1" s="47"/>
      <c r="C1" s="47"/>
      <c r="D1" s="47"/>
      <c r="E1" s="47"/>
      <c r="F1" s="47"/>
      <c r="G1" s="47"/>
      <c r="H1" s="47"/>
    </row>
    <row r="2" spans="1:18" ht="23.25" x14ac:dyDescent="0.35">
      <c r="A2" s="19" t="s">
        <v>0</v>
      </c>
      <c r="B2" s="20" t="s">
        <v>263</v>
      </c>
      <c r="C2" s="20" t="s">
        <v>3</v>
      </c>
      <c r="D2" s="20" t="s">
        <v>6</v>
      </c>
      <c r="E2" s="20" t="s">
        <v>7</v>
      </c>
      <c r="F2" s="21" t="s">
        <v>8</v>
      </c>
      <c r="G2" s="20" t="s">
        <v>9</v>
      </c>
      <c r="H2" s="20" t="s">
        <v>11</v>
      </c>
      <c r="I2" s="24" t="s">
        <v>320</v>
      </c>
      <c r="K2" s="41" t="s">
        <v>205</v>
      </c>
      <c r="L2" s="42">
        <f>SUM(Table13[Extended Price])</f>
        <v>641.65493076923076</v>
      </c>
    </row>
    <row r="3" spans="1:18" x14ac:dyDescent="0.25">
      <c r="C3" t="s">
        <v>231</v>
      </c>
      <c r="D3">
        <v>2</v>
      </c>
      <c r="E3" s="7">
        <f>Mechanical!I30</f>
        <v>126.62215625075713</v>
      </c>
      <c r="F3" s="7">
        <f>Table13[[#This Row],[Unit Price]]*Table13[[#This Row],[Quantity]]</f>
        <v>253.24431250151426</v>
      </c>
      <c r="I3" t="s">
        <v>322</v>
      </c>
    </row>
    <row r="4" spans="1:18" ht="18" thickBot="1" x14ac:dyDescent="0.35">
      <c r="C4" t="s">
        <v>290</v>
      </c>
      <c r="D4">
        <v>1</v>
      </c>
      <c r="E4" s="7">
        <f>Mechanical!I47</f>
        <v>50.351527874015751</v>
      </c>
      <c r="F4" s="7">
        <f>Table13[[#This Row],[Unit Price]]*Table13[[#This Row],[Quantity]]</f>
        <v>50.351527874015751</v>
      </c>
      <c r="I4" t="s">
        <v>322</v>
      </c>
      <c r="K4" s="46" t="s">
        <v>352</v>
      </c>
      <c r="L4" s="46"/>
    </row>
    <row r="5" spans="1:18" ht="27" thickTop="1" x14ac:dyDescent="0.4">
      <c r="C5" t="s">
        <v>321</v>
      </c>
      <c r="D5">
        <v>1</v>
      </c>
      <c r="E5" s="7">
        <f>'Electrical '!I63</f>
        <v>163.85000000000002</v>
      </c>
      <c r="F5" s="7">
        <f>Table13[[#This Row],[Unit Price]]*Table13[[#This Row],[Quantity]]</f>
        <v>163.85000000000002</v>
      </c>
      <c r="I5" t="s">
        <v>323</v>
      </c>
      <c r="K5" s="48" t="s">
        <v>341</v>
      </c>
      <c r="L5" s="48"/>
      <c r="M5" s="48" t="s">
        <v>342</v>
      </c>
      <c r="N5" s="48"/>
      <c r="P5" s="45" t="s">
        <v>350</v>
      </c>
      <c r="R5" t="s">
        <v>351</v>
      </c>
    </row>
    <row r="6" spans="1:18" x14ac:dyDescent="0.25">
      <c r="C6" t="s">
        <v>122</v>
      </c>
      <c r="D6">
        <v>4</v>
      </c>
      <c r="E6" s="7">
        <f>'Electrical '!I24</f>
        <v>27.140000000000004</v>
      </c>
      <c r="F6" s="7">
        <f>Table13[[#This Row],[Unit Price]]*Table13[[#This Row],[Quantity]]</f>
        <v>108.56000000000002</v>
      </c>
      <c r="I6" t="s">
        <v>323</v>
      </c>
      <c r="K6" s="38" t="s">
        <v>334</v>
      </c>
      <c r="L6" s="39">
        <v>1.5</v>
      </c>
      <c r="M6" s="38" t="s">
        <v>334</v>
      </c>
      <c r="N6" s="39">
        <f>L6</f>
        <v>1.5</v>
      </c>
      <c r="P6" s="38" t="s">
        <v>334</v>
      </c>
      <c r="Q6">
        <f>N6*(N9+1)</f>
        <v>1.5</v>
      </c>
      <c r="R6">
        <f>Q6*3.28084</f>
        <v>4.9212600000000002</v>
      </c>
    </row>
    <row r="7" spans="1:18" x14ac:dyDescent="0.25">
      <c r="C7" t="s">
        <v>201</v>
      </c>
      <c r="D7">
        <v>1</v>
      </c>
      <c r="E7" s="35">
        <f>'Electrical '!I52</f>
        <v>34.43</v>
      </c>
      <c r="F7" s="7">
        <f>Table13[[#This Row],[Unit Price]]*Table13[[#This Row],[Quantity]]</f>
        <v>34.43</v>
      </c>
      <c r="I7" t="s">
        <v>323</v>
      </c>
      <c r="K7" s="38" t="s">
        <v>335</v>
      </c>
      <c r="L7" s="39">
        <v>2</v>
      </c>
      <c r="M7" s="38" t="s">
        <v>335</v>
      </c>
      <c r="N7" s="39">
        <f t="shared" ref="N7:N8" si="0">L7</f>
        <v>2</v>
      </c>
      <c r="P7" s="38" t="s">
        <v>335</v>
      </c>
      <c r="Q7">
        <f>N7*(N9+1)</f>
        <v>2</v>
      </c>
      <c r="R7">
        <f>Q7*3.28084</f>
        <v>6.56168</v>
      </c>
    </row>
    <row r="8" spans="1:18" x14ac:dyDescent="0.25">
      <c r="C8" t="s">
        <v>333</v>
      </c>
      <c r="D8">
        <v>1</v>
      </c>
      <c r="E8" s="7">
        <f>Mechanical!I58</f>
        <v>31.219090393700789</v>
      </c>
      <c r="F8" s="7">
        <f>Table13[[#This Row],[Unit Price]]*Table13[[#This Row],[Quantity]]</f>
        <v>31.219090393700789</v>
      </c>
      <c r="I8" t="s">
        <v>322</v>
      </c>
      <c r="K8" s="38" t="s">
        <v>336</v>
      </c>
      <c r="L8" s="39">
        <v>2</v>
      </c>
      <c r="M8" s="38" t="s">
        <v>336</v>
      </c>
      <c r="N8" s="39">
        <f t="shared" si="0"/>
        <v>2</v>
      </c>
      <c r="P8" s="38" t="s">
        <v>336</v>
      </c>
      <c r="Q8">
        <f>N8*(N9+1)</f>
        <v>2</v>
      </c>
      <c r="R8">
        <f>Q8*3.28084</f>
        <v>6.56168</v>
      </c>
    </row>
    <row r="9" spans="1:18" x14ac:dyDescent="0.25">
      <c r="C9" t="s">
        <v>349</v>
      </c>
      <c r="D9">
        <f>N9</f>
        <v>0</v>
      </c>
      <c r="E9" s="7">
        <f>Mechanical!I69</f>
        <v>70.079789291338585</v>
      </c>
      <c r="F9" s="7">
        <f>Table13[[#This Row],[Unit Price]]*Table13[[#This Row],[Quantity]]</f>
        <v>0</v>
      </c>
      <c r="I9" t="s">
        <v>322</v>
      </c>
      <c r="M9" s="40" t="s">
        <v>343</v>
      </c>
      <c r="N9">
        <v>0</v>
      </c>
    </row>
  </sheetData>
  <mergeCells count="3">
    <mergeCell ref="A1:H1"/>
    <mergeCell ref="K5:L5"/>
    <mergeCell ref="M5:N5"/>
  </mergeCells>
  <conditionalFormatting sqref="F3:F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5AEB-69FF-447D-8154-D544AC848EA4}">
  <dimension ref="A1:O67"/>
  <sheetViews>
    <sheetView topLeftCell="A34" workbookViewId="0">
      <selection activeCell="E64" sqref="E64"/>
    </sheetView>
  </sheetViews>
  <sheetFormatPr defaultRowHeight="15" x14ac:dyDescent="0.25"/>
  <cols>
    <col min="1" max="1" width="27.5703125" bestFit="1" customWidth="1"/>
    <col min="2" max="2" width="35.7109375" bestFit="1" customWidth="1"/>
    <col min="3" max="3" width="34.5703125" bestFit="1" customWidth="1"/>
    <col min="4" max="4" width="40.7109375" bestFit="1" customWidth="1"/>
    <col min="5" max="5" width="22.7109375" bestFit="1" customWidth="1"/>
    <col min="6" max="6" width="12.7109375" bestFit="1" customWidth="1"/>
    <col min="7" max="7" width="19.7109375" bestFit="1" customWidth="1"/>
    <col min="8" max="8" width="12" bestFit="1" customWidth="1"/>
    <col min="9" max="9" width="16.7109375" bestFit="1" customWidth="1"/>
    <col min="10" max="11" width="20" bestFit="1" customWidth="1"/>
    <col min="12" max="12" width="34.140625" bestFit="1" customWidth="1"/>
    <col min="13" max="13" width="35.42578125" bestFit="1" customWidth="1"/>
    <col min="14" max="15" width="17.85546875" bestFit="1" customWidth="1"/>
    <col min="16" max="16" width="14.85546875" customWidth="1"/>
    <col min="17" max="25" width="11" customWidth="1"/>
    <col min="26" max="115" width="12" customWidth="1"/>
    <col min="116" max="1015" width="13" customWidth="1"/>
    <col min="1016" max="10015" width="14" customWidth="1"/>
    <col min="10016" max="16384" width="15" customWidth="1"/>
  </cols>
  <sheetData>
    <row r="1" spans="1:15" ht="58.5" customHeight="1" x14ac:dyDescent="0.5">
      <c r="A1" s="50" t="s">
        <v>202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2</v>
      </c>
      <c r="H3" s="5">
        <v>0.3</v>
      </c>
      <c r="I3" s="5">
        <v>0.6</v>
      </c>
      <c r="J3">
        <v>124776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</row>
    <row r="4" spans="1:15" x14ac:dyDescent="0.25">
      <c r="A4" t="s">
        <v>26</v>
      </c>
      <c r="B4" t="s">
        <v>27</v>
      </c>
      <c r="C4" t="s">
        <v>28</v>
      </c>
      <c r="D4" t="s">
        <v>29</v>
      </c>
      <c r="E4" t="s">
        <v>19</v>
      </c>
      <c r="F4" t="s">
        <v>20</v>
      </c>
      <c r="G4">
        <v>5</v>
      </c>
      <c r="H4" s="5">
        <v>0.36</v>
      </c>
      <c r="I4" s="5">
        <v>1.8</v>
      </c>
      <c r="J4">
        <v>1019880</v>
      </c>
      <c r="K4" t="s">
        <v>30</v>
      </c>
      <c r="L4" t="s">
        <v>31</v>
      </c>
      <c r="M4" t="s">
        <v>23</v>
      </c>
      <c r="N4" t="s">
        <v>24</v>
      </c>
      <c r="O4" t="s">
        <v>32</v>
      </c>
    </row>
    <row r="5" spans="1:15" x14ac:dyDescent="0.25">
      <c r="A5" t="s">
        <v>33</v>
      </c>
      <c r="B5" t="s">
        <v>27</v>
      </c>
      <c r="C5" t="s">
        <v>34</v>
      </c>
      <c r="D5" t="s">
        <v>35</v>
      </c>
      <c r="E5" t="s">
        <v>19</v>
      </c>
      <c r="F5" t="s">
        <v>20</v>
      </c>
      <c r="G5">
        <v>5</v>
      </c>
      <c r="H5" s="5">
        <v>0.1</v>
      </c>
      <c r="I5" s="5">
        <v>0.5</v>
      </c>
      <c r="J5">
        <v>354161</v>
      </c>
      <c r="K5" t="s">
        <v>30</v>
      </c>
      <c r="L5" t="s">
        <v>36</v>
      </c>
      <c r="M5" t="s">
        <v>23</v>
      </c>
      <c r="N5" t="s">
        <v>24</v>
      </c>
      <c r="O5" t="s">
        <v>32</v>
      </c>
    </row>
    <row r="6" spans="1:15" x14ac:dyDescent="0.25">
      <c r="A6" t="s">
        <v>37</v>
      </c>
      <c r="B6" t="s">
        <v>38</v>
      </c>
      <c r="C6" t="s">
        <v>39</v>
      </c>
      <c r="D6" t="s">
        <v>40</v>
      </c>
      <c r="E6" t="s">
        <v>19</v>
      </c>
      <c r="F6" t="s">
        <v>20</v>
      </c>
      <c r="G6">
        <v>1</v>
      </c>
      <c r="H6" s="5">
        <v>0.1</v>
      </c>
      <c r="I6" s="5">
        <v>0.1</v>
      </c>
      <c r="J6">
        <v>233944</v>
      </c>
      <c r="K6" t="s">
        <v>41</v>
      </c>
      <c r="L6" t="s">
        <v>42</v>
      </c>
      <c r="M6" t="s">
        <v>23</v>
      </c>
      <c r="N6" t="s">
        <v>24</v>
      </c>
      <c r="O6" t="s">
        <v>32</v>
      </c>
    </row>
    <row r="7" spans="1:15" x14ac:dyDescent="0.25">
      <c r="A7" t="s">
        <v>43</v>
      </c>
      <c r="B7" t="s">
        <v>27</v>
      </c>
      <c r="C7" t="s">
        <v>44</v>
      </c>
      <c r="D7" t="s">
        <v>45</v>
      </c>
      <c r="E7" t="s">
        <v>19</v>
      </c>
      <c r="F7" t="s">
        <v>20</v>
      </c>
      <c r="G7">
        <v>1</v>
      </c>
      <c r="H7" s="5">
        <v>0.36</v>
      </c>
      <c r="I7" s="5">
        <v>0.36</v>
      </c>
      <c r="J7">
        <v>613293</v>
      </c>
      <c r="K7" t="s">
        <v>30</v>
      </c>
      <c r="L7" t="s">
        <v>46</v>
      </c>
      <c r="M7" t="s">
        <v>23</v>
      </c>
      <c r="N7" t="s">
        <v>24</v>
      </c>
      <c r="O7" t="s">
        <v>32</v>
      </c>
    </row>
    <row r="8" spans="1:15" x14ac:dyDescent="0.25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20</v>
      </c>
      <c r="G8">
        <v>1</v>
      </c>
      <c r="H8" s="5">
        <v>0.66</v>
      </c>
      <c r="I8" s="5">
        <v>0.66</v>
      </c>
      <c r="J8">
        <v>70638</v>
      </c>
      <c r="K8" t="s">
        <v>52</v>
      </c>
      <c r="L8" t="s">
        <v>53</v>
      </c>
      <c r="M8" t="s">
        <v>54</v>
      </c>
      <c r="N8" t="s">
        <v>24</v>
      </c>
      <c r="O8" t="s">
        <v>32</v>
      </c>
    </row>
    <row r="9" spans="1:15" x14ac:dyDescent="0.25">
      <c r="A9" t="s">
        <v>55</v>
      </c>
      <c r="B9" t="s">
        <v>48</v>
      </c>
      <c r="C9" t="s">
        <v>56</v>
      </c>
      <c r="D9" t="s">
        <v>57</v>
      </c>
      <c r="E9" t="s">
        <v>51</v>
      </c>
      <c r="F9" t="s">
        <v>20</v>
      </c>
      <c r="G9">
        <v>1</v>
      </c>
      <c r="H9" s="5">
        <v>0.44</v>
      </c>
      <c r="I9" s="5">
        <v>0.44</v>
      </c>
      <c r="J9">
        <v>2517</v>
      </c>
      <c r="K9" t="s">
        <v>58</v>
      </c>
      <c r="L9" t="s">
        <v>59</v>
      </c>
      <c r="M9" t="s">
        <v>54</v>
      </c>
      <c r="N9" t="s">
        <v>24</v>
      </c>
      <c r="O9" t="s">
        <v>32</v>
      </c>
    </row>
    <row r="10" spans="1:15" x14ac:dyDescent="0.25">
      <c r="A10" t="s">
        <v>60</v>
      </c>
      <c r="B10" t="s">
        <v>61</v>
      </c>
      <c r="C10" t="s">
        <v>62</v>
      </c>
      <c r="D10" t="s">
        <v>63</v>
      </c>
      <c r="E10" t="s">
        <v>51</v>
      </c>
      <c r="F10" t="s">
        <v>20</v>
      </c>
      <c r="G10">
        <v>1</v>
      </c>
      <c r="H10" s="5">
        <v>1.02</v>
      </c>
      <c r="I10" s="5">
        <v>1.02</v>
      </c>
      <c r="J10">
        <v>3260</v>
      </c>
      <c r="K10" t="s">
        <v>64</v>
      </c>
      <c r="L10" t="s">
        <v>65</v>
      </c>
      <c r="M10" t="s">
        <v>23</v>
      </c>
      <c r="N10" t="s">
        <v>24</v>
      </c>
      <c r="O10" t="s">
        <v>32</v>
      </c>
    </row>
    <row r="11" spans="1:15" x14ac:dyDescent="0.25">
      <c r="A11" t="s">
        <v>66</v>
      </c>
      <c r="B11" t="s">
        <v>67</v>
      </c>
      <c r="C11" t="s">
        <v>68</v>
      </c>
      <c r="D11" t="s">
        <v>69</v>
      </c>
      <c r="E11" t="s">
        <v>19</v>
      </c>
      <c r="F11" t="s">
        <v>20</v>
      </c>
      <c r="G11">
        <v>2</v>
      </c>
      <c r="H11" s="5">
        <v>0.45</v>
      </c>
      <c r="I11" s="5">
        <v>0.9</v>
      </c>
      <c r="J11">
        <v>3823</v>
      </c>
      <c r="K11" t="s">
        <v>30</v>
      </c>
      <c r="L11" t="s">
        <v>70</v>
      </c>
      <c r="M11" t="s">
        <v>23</v>
      </c>
      <c r="N11" t="s">
        <v>24</v>
      </c>
      <c r="O11" t="s">
        <v>32</v>
      </c>
    </row>
    <row r="12" spans="1:15" x14ac:dyDescent="0.25">
      <c r="A12" t="s">
        <v>71</v>
      </c>
      <c r="B12" t="s">
        <v>72</v>
      </c>
      <c r="C12" t="s">
        <v>73</v>
      </c>
      <c r="D12" t="s">
        <v>74</v>
      </c>
      <c r="E12" t="s">
        <v>19</v>
      </c>
      <c r="F12" t="s">
        <v>20</v>
      </c>
      <c r="G12">
        <v>6</v>
      </c>
      <c r="H12" s="5">
        <v>0.1</v>
      </c>
      <c r="I12" s="5">
        <v>0.6</v>
      </c>
      <c r="J12">
        <v>2708711</v>
      </c>
      <c r="K12" t="s">
        <v>21</v>
      </c>
      <c r="L12" t="s">
        <v>75</v>
      </c>
      <c r="M12" t="s">
        <v>23</v>
      </c>
      <c r="N12" t="s">
        <v>24</v>
      </c>
      <c r="O12" t="s">
        <v>32</v>
      </c>
    </row>
    <row r="13" spans="1:15" x14ac:dyDescent="0.25">
      <c r="A13" t="s">
        <v>76</v>
      </c>
      <c r="B13" t="s">
        <v>77</v>
      </c>
      <c r="C13" t="s">
        <v>78</v>
      </c>
      <c r="D13" t="s">
        <v>79</v>
      </c>
      <c r="E13" t="s">
        <v>19</v>
      </c>
      <c r="F13" t="s">
        <v>20</v>
      </c>
      <c r="G13">
        <v>1</v>
      </c>
      <c r="H13" s="5">
        <v>0.26</v>
      </c>
      <c r="I13" s="5">
        <v>0.26</v>
      </c>
      <c r="J13">
        <v>0</v>
      </c>
      <c r="K13" t="s">
        <v>58</v>
      </c>
      <c r="L13" t="s">
        <v>80</v>
      </c>
      <c r="M13" t="s">
        <v>23</v>
      </c>
      <c r="N13" t="s">
        <v>24</v>
      </c>
      <c r="O13" t="s">
        <v>32</v>
      </c>
    </row>
    <row r="14" spans="1:15" x14ac:dyDescent="0.25">
      <c r="A14" t="s">
        <v>81</v>
      </c>
      <c r="B14" t="s">
        <v>82</v>
      </c>
      <c r="C14" t="s">
        <v>83</v>
      </c>
      <c r="D14" t="s">
        <v>84</v>
      </c>
      <c r="E14" t="s">
        <v>19</v>
      </c>
      <c r="F14" t="s">
        <v>20</v>
      </c>
      <c r="G14">
        <v>1</v>
      </c>
      <c r="H14" s="5">
        <v>0.1</v>
      </c>
      <c r="I14" s="5">
        <v>0.1</v>
      </c>
      <c r="J14">
        <v>2509617</v>
      </c>
      <c r="K14" t="s">
        <v>41</v>
      </c>
      <c r="L14" t="s">
        <v>85</v>
      </c>
      <c r="M14" t="s">
        <v>23</v>
      </c>
      <c r="N14" t="s">
        <v>24</v>
      </c>
      <c r="O14" t="s">
        <v>32</v>
      </c>
    </row>
    <row r="15" spans="1:15" x14ac:dyDescent="0.25">
      <c r="A15" t="s">
        <v>86</v>
      </c>
      <c r="B15" t="s">
        <v>87</v>
      </c>
      <c r="C15" t="s">
        <v>88</v>
      </c>
      <c r="D15" t="s">
        <v>89</v>
      </c>
      <c r="E15" t="s">
        <v>19</v>
      </c>
      <c r="F15" t="s">
        <v>20</v>
      </c>
      <c r="G15">
        <v>1</v>
      </c>
      <c r="H15" s="5">
        <v>0.1</v>
      </c>
      <c r="I15" s="5">
        <v>0.1</v>
      </c>
      <c r="J15">
        <v>83167</v>
      </c>
      <c r="K15" t="s">
        <v>90</v>
      </c>
      <c r="L15" t="s">
        <v>91</v>
      </c>
      <c r="M15" t="s">
        <v>54</v>
      </c>
      <c r="N15" t="s">
        <v>24</v>
      </c>
      <c r="O15" t="s">
        <v>25</v>
      </c>
    </row>
    <row r="16" spans="1:15" x14ac:dyDescent="0.25">
      <c r="A16" t="s">
        <v>92</v>
      </c>
      <c r="B16" t="s">
        <v>93</v>
      </c>
      <c r="C16" t="s">
        <v>94</v>
      </c>
      <c r="D16" t="s">
        <v>95</v>
      </c>
      <c r="E16" t="s">
        <v>96</v>
      </c>
      <c r="F16" t="s">
        <v>20</v>
      </c>
      <c r="G16">
        <v>1</v>
      </c>
      <c r="H16" s="5">
        <v>0.93</v>
      </c>
      <c r="I16" s="5">
        <v>0.93</v>
      </c>
      <c r="J16">
        <v>4541</v>
      </c>
      <c r="K16" t="s">
        <v>97</v>
      </c>
      <c r="L16" t="s">
        <v>98</v>
      </c>
      <c r="M16" t="s">
        <v>54</v>
      </c>
      <c r="N16" t="s">
        <v>24</v>
      </c>
      <c r="O16" t="s">
        <v>25</v>
      </c>
    </row>
    <row r="17" spans="1:15" x14ac:dyDescent="0.25">
      <c r="A17" t="s">
        <v>99</v>
      </c>
      <c r="B17" t="s">
        <v>100</v>
      </c>
      <c r="C17" t="s">
        <v>101</v>
      </c>
      <c r="D17" t="s">
        <v>102</v>
      </c>
      <c r="E17" t="s">
        <v>19</v>
      </c>
      <c r="F17" t="s">
        <v>20</v>
      </c>
      <c r="G17">
        <v>1</v>
      </c>
      <c r="H17" s="5">
        <v>9.66</v>
      </c>
      <c r="I17" s="5">
        <v>9.66</v>
      </c>
      <c r="J17">
        <v>1001</v>
      </c>
      <c r="K17" t="s">
        <v>103</v>
      </c>
      <c r="L17" t="s">
        <v>104</v>
      </c>
      <c r="M17" t="s">
        <v>54</v>
      </c>
      <c r="N17" t="s">
        <v>24</v>
      </c>
      <c r="O17" t="s">
        <v>32</v>
      </c>
    </row>
    <row r="18" spans="1:15" x14ac:dyDescent="0.25">
      <c r="A18" t="s">
        <v>105</v>
      </c>
      <c r="B18" t="s">
        <v>106</v>
      </c>
      <c r="C18" t="s">
        <v>107</v>
      </c>
      <c r="D18" t="s">
        <v>108</v>
      </c>
      <c r="E18" t="s">
        <v>19</v>
      </c>
      <c r="F18" t="s">
        <v>20</v>
      </c>
      <c r="G18">
        <v>1</v>
      </c>
      <c r="H18" s="5">
        <v>2.74</v>
      </c>
      <c r="I18" s="5">
        <v>2.74</v>
      </c>
      <c r="J18">
        <v>0</v>
      </c>
      <c r="K18" t="s">
        <v>109</v>
      </c>
      <c r="L18" t="s">
        <v>110</v>
      </c>
      <c r="M18" t="s">
        <v>23</v>
      </c>
      <c r="N18" t="s">
        <v>24</v>
      </c>
      <c r="O18" t="s">
        <v>25</v>
      </c>
    </row>
    <row r="19" spans="1:15" x14ac:dyDescent="0.25">
      <c r="A19" t="s">
        <v>111</v>
      </c>
      <c r="B19" t="s">
        <v>112</v>
      </c>
      <c r="C19" t="s">
        <v>113</v>
      </c>
      <c r="D19" t="s">
        <v>114</v>
      </c>
      <c r="E19" t="s">
        <v>19</v>
      </c>
      <c r="F19" t="s">
        <v>20</v>
      </c>
      <c r="G19">
        <v>1</v>
      </c>
      <c r="H19" s="5">
        <v>5.69</v>
      </c>
      <c r="I19" s="5">
        <v>5.69</v>
      </c>
      <c r="J19">
        <v>3465</v>
      </c>
      <c r="K19" t="s">
        <v>115</v>
      </c>
      <c r="L19" t="s">
        <v>116</v>
      </c>
      <c r="M19" t="s">
        <v>23</v>
      </c>
      <c r="N19" t="s">
        <v>24</v>
      </c>
      <c r="O19" t="s">
        <v>32</v>
      </c>
    </row>
    <row r="20" spans="1:15" x14ac:dyDescent="0.25">
      <c r="A20" t="s">
        <v>117</v>
      </c>
      <c r="B20" t="s">
        <v>118</v>
      </c>
      <c r="C20" t="s">
        <v>119</v>
      </c>
      <c r="D20" t="s">
        <v>120</v>
      </c>
      <c r="E20" t="s">
        <v>19</v>
      </c>
      <c r="F20" t="s">
        <v>20</v>
      </c>
      <c r="G20">
        <v>2</v>
      </c>
      <c r="H20" s="5">
        <v>0.34</v>
      </c>
      <c r="I20" s="5">
        <v>0.68</v>
      </c>
      <c r="J20">
        <v>0</v>
      </c>
      <c r="K20" t="s">
        <v>41</v>
      </c>
      <c r="L20" t="s">
        <v>121</v>
      </c>
      <c r="M20" t="s">
        <v>23</v>
      </c>
      <c r="N20" t="s">
        <v>24</v>
      </c>
      <c r="O20" t="s">
        <v>32</v>
      </c>
    </row>
    <row r="21" spans="1:15" x14ac:dyDescent="0.25">
      <c r="I21" s="5"/>
    </row>
    <row r="22" spans="1:15" x14ac:dyDescent="0.25">
      <c r="I22" s="5"/>
    </row>
    <row r="23" spans="1:15" x14ac:dyDescent="0.25">
      <c r="I23" s="5"/>
    </row>
    <row r="24" spans="1:15" ht="27.75" customHeight="1" x14ac:dyDescent="0.45">
      <c r="A24" s="49" t="s">
        <v>205</v>
      </c>
      <c r="B24" s="49"/>
      <c r="C24" s="49"/>
      <c r="D24" s="49"/>
      <c r="E24" s="49"/>
      <c r="F24" s="49"/>
      <c r="G24" s="49"/>
      <c r="H24" s="49"/>
      <c r="I24" s="5">
        <f>SUM(Table1[Extended Price])</f>
        <v>27.140000000000004</v>
      </c>
    </row>
    <row r="25" spans="1:15" ht="47.25" customHeight="1" x14ac:dyDescent="0.5">
      <c r="A25" s="51" t="s">
        <v>203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</row>
    <row r="26" spans="1:15" x14ac:dyDescent="0.25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14</v>
      </c>
    </row>
    <row r="27" spans="1:15" x14ac:dyDescent="0.25">
      <c r="A27" s="2" t="s">
        <v>15</v>
      </c>
      <c r="B27" s="2" t="s">
        <v>16</v>
      </c>
      <c r="C27" s="2" t="s">
        <v>17</v>
      </c>
      <c r="D27" s="2" t="s">
        <v>123</v>
      </c>
      <c r="E27" s="2" t="s">
        <v>19</v>
      </c>
      <c r="F27" s="2" t="s">
        <v>20</v>
      </c>
      <c r="G27" s="2">
        <v>3</v>
      </c>
      <c r="H27" s="6">
        <v>0.3</v>
      </c>
      <c r="I27" s="6">
        <v>0.9</v>
      </c>
      <c r="J27" s="2">
        <v>124776</v>
      </c>
      <c r="K27" s="2" t="s">
        <v>21</v>
      </c>
      <c r="L27" s="2" t="s">
        <v>22</v>
      </c>
      <c r="M27" s="2" t="s">
        <v>23</v>
      </c>
      <c r="N27" s="2" t="s">
        <v>24</v>
      </c>
      <c r="O27" s="2" t="s">
        <v>25</v>
      </c>
    </row>
    <row r="28" spans="1:15" x14ac:dyDescent="0.25">
      <c r="A28" s="2" t="s">
        <v>124</v>
      </c>
      <c r="B28" s="2" t="s">
        <v>125</v>
      </c>
      <c r="C28" s="2" t="s">
        <v>126</v>
      </c>
      <c r="D28" s="2" t="s">
        <v>127</v>
      </c>
      <c r="E28" s="2" t="s">
        <v>51</v>
      </c>
      <c r="F28" s="2" t="s">
        <v>20</v>
      </c>
      <c r="G28" s="2">
        <v>3</v>
      </c>
      <c r="H28" s="6">
        <v>0.82</v>
      </c>
      <c r="I28" s="6">
        <v>2.46</v>
      </c>
      <c r="J28" s="2">
        <v>792</v>
      </c>
      <c r="K28" s="2" t="s">
        <v>41</v>
      </c>
      <c r="L28" s="2" t="s">
        <v>128</v>
      </c>
      <c r="M28" s="2" t="s">
        <v>23</v>
      </c>
      <c r="N28" s="2" t="s">
        <v>24</v>
      </c>
      <c r="O28" s="2" t="s">
        <v>32</v>
      </c>
    </row>
    <row r="29" spans="1:15" x14ac:dyDescent="0.25">
      <c r="A29" s="2" t="s">
        <v>129</v>
      </c>
      <c r="B29" s="2" t="s">
        <v>130</v>
      </c>
      <c r="C29" s="2" t="s">
        <v>131</v>
      </c>
      <c r="D29" s="2" t="s">
        <v>132</v>
      </c>
      <c r="E29" s="2" t="s">
        <v>19</v>
      </c>
      <c r="F29" s="2" t="s">
        <v>20</v>
      </c>
      <c r="G29" s="2">
        <v>2</v>
      </c>
      <c r="H29" s="6">
        <v>0.11</v>
      </c>
      <c r="I29" s="6">
        <v>0.22</v>
      </c>
      <c r="J29" s="2">
        <v>936348</v>
      </c>
      <c r="K29" s="2" t="s">
        <v>133</v>
      </c>
      <c r="L29" s="2" t="s">
        <v>134</v>
      </c>
      <c r="M29" s="2" t="s">
        <v>23</v>
      </c>
      <c r="N29" s="2" t="s">
        <v>24</v>
      </c>
      <c r="O29" s="2" t="s">
        <v>32</v>
      </c>
    </row>
    <row r="30" spans="1:15" x14ac:dyDescent="0.25">
      <c r="A30" s="2" t="s">
        <v>135</v>
      </c>
      <c r="B30" s="2" t="s">
        <v>27</v>
      </c>
      <c r="C30" s="2" t="s">
        <v>136</v>
      </c>
      <c r="D30" s="2" t="s">
        <v>137</v>
      </c>
      <c r="E30" s="2" t="s">
        <v>19</v>
      </c>
      <c r="F30" s="2" t="s">
        <v>20</v>
      </c>
      <c r="G30" s="2">
        <v>1</v>
      </c>
      <c r="H30" s="6">
        <v>0.15</v>
      </c>
      <c r="I30" s="6">
        <v>0.15</v>
      </c>
      <c r="J30" s="2">
        <v>157643</v>
      </c>
      <c r="K30" s="2" t="s">
        <v>30</v>
      </c>
      <c r="L30" s="2" t="s">
        <v>138</v>
      </c>
      <c r="M30" s="2" t="s">
        <v>23</v>
      </c>
      <c r="N30" s="2" t="s">
        <v>24</v>
      </c>
      <c r="O30" s="2" t="s">
        <v>32</v>
      </c>
    </row>
    <row r="31" spans="1:15" x14ac:dyDescent="0.25">
      <c r="A31" s="2" t="s">
        <v>26</v>
      </c>
      <c r="B31" s="2" t="s">
        <v>27</v>
      </c>
      <c r="C31" s="2" t="s">
        <v>28</v>
      </c>
      <c r="D31" s="2" t="s">
        <v>139</v>
      </c>
      <c r="E31" s="2" t="s">
        <v>19</v>
      </c>
      <c r="F31" s="2" t="s">
        <v>20</v>
      </c>
      <c r="G31" s="2">
        <v>2</v>
      </c>
      <c r="H31" s="6">
        <v>0.36</v>
      </c>
      <c r="I31" s="6">
        <v>0.72</v>
      </c>
      <c r="J31" s="2">
        <v>1019880</v>
      </c>
      <c r="K31" s="2" t="s">
        <v>30</v>
      </c>
      <c r="L31" s="2" t="s">
        <v>31</v>
      </c>
      <c r="M31" s="2" t="s">
        <v>23</v>
      </c>
      <c r="N31" s="2" t="s">
        <v>24</v>
      </c>
      <c r="O31" s="2" t="s">
        <v>32</v>
      </c>
    </row>
    <row r="32" spans="1:15" x14ac:dyDescent="0.25">
      <c r="A32" s="2" t="s">
        <v>140</v>
      </c>
      <c r="B32" s="2" t="s">
        <v>141</v>
      </c>
      <c r="C32" s="2" t="s">
        <v>142</v>
      </c>
      <c r="D32" s="2" t="s">
        <v>143</v>
      </c>
      <c r="E32" s="2" t="s">
        <v>19</v>
      </c>
      <c r="F32" s="2" t="s">
        <v>20</v>
      </c>
      <c r="G32" s="2">
        <v>1</v>
      </c>
      <c r="H32" s="6">
        <v>0.54</v>
      </c>
      <c r="I32" s="6">
        <v>0.54</v>
      </c>
      <c r="J32" s="2">
        <v>78973</v>
      </c>
      <c r="K32" s="2" t="s">
        <v>144</v>
      </c>
      <c r="L32" s="2" t="s">
        <v>145</v>
      </c>
      <c r="M32" s="2" t="s">
        <v>23</v>
      </c>
      <c r="N32" s="2" t="s">
        <v>24</v>
      </c>
      <c r="O32" s="2" t="s">
        <v>32</v>
      </c>
    </row>
    <row r="33" spans="1:15" x14ac:dyDescent="0.25">
      <c r="A33" s="2" t="s">
        <v>47</v>
      </c>
      <c r="B33" s="2" t="s">
        <v>48</v>
      </c>
      <c r="C33" s="2" t="s">
        <v>49</v>
      </c>
      <c r="D33" s="2" t="s">
        <v>146</v>
      </c>
      <c r="E33" s="2" t="s">
        <v>51</v>
      </c>
      <c r="F33" s="2" t="s">
        <v>20</v>
      </c>
      <c r="G33" s="2">
        <v>6</v>
      </c>
      <c r="H33" s="6">
        <v>0.66</v>
      </c>
      <c r="I33" s="6">
        <v>3.96</v>
      </c>
      <c r="J33" s="2">
        <v>70638</v>
      </c>
      <c r="K33" s="2" t="s">
        <v>52</v>
      </c>
      <c r="L33" s="2" t="s">
        <v>53</v>
      </c>
      <c r="M33" s="2" t="s">
        <v>54</v>
      </c>
      <c r="N33" s="2" t="s">
        <v>24</v>
      </c>
      <c r="O33" s="2" t="s">
        <v>32</v>
      </c>
    </row>
    <row r="34" spans="1:15" x14ac:dyDescent="0.25">
      <c r="A34" s="2" t="s">
        <v>147</v>
      </c>
      <c r="B34" s="2" t="s">
        <v>61</v>
      </c>
      <c r="C34" s="2" t="s">
        <v>148</v>
      </c>
      <c r="D34" s="2" t="s">
        <v>149</v>
      </c>
      <c r="E34" s="2" t="s">
        <v>51</v>
      </c>
      <c r="F34" s="2" t="s">
        <v>20</v>
      </c>
      <c r="G34" s="2">
        <v>10</v>
      </c>
      <c r="H34" s="6">
        <v>0.42199999999999999</v>
      </c>
      <c r="I34" s="6">
        <v>4.22</v>
      </c>
      <c r="J34" s="2">
        <v>26800</v>
      </c>
      <c r="K34" s="2" t="s">
        <v>52</v>
      </c>
      <c r="L34" s="2" t="s">
        <v>150</v>
      </c>
      <c r="M34" s="2" t="s">
        <v>23</v>
      </c>
      <c r="N34" s="2" t="s">
        <v>24</v>
      </c>
      <c r="O34" s="2" t="s">
        <v>32</v>
      </c>
    </row>
    <row r="35" spans="1:15" x14ac:dyDescent="0.25">
      <c r="A35" s="2">
        <v>5040771891</v>
      </c>
      <c r="B35" s="2" t="s">
        <v>151</v>
      </c>
      <c r="C35" s="2" t="s">
        <v>152</v>
      </c>
      <c r="D35" s="2" t="s">
        <v>153</v>
      </c>
      <c r="E35" s="2" t="s">
        <v>19</v>
      </c>
      <c r="F35" s="2" t="s">
        <v>20</v>
      </c>
      <c r="G35" s="2">
        <v>1</v>
      </c>
      <c r="H35" s="6">
        <v>2.02</v>
      </c>
      <c r="I35" s="6">
        <v>2.02</v>
      </c>
      <c r="J35" s="2">
        <v>2400</v>
      </c>
      <c r="K35" s="2" t="s">
        <v>144</v>
      </c>
      <c r="L35" s="2" t="s">
        <v>154</v>
      </c>
      <c r="M35" s="2" t="s">
        <v>23</v>
      </c>
      <c r="N35" s="2" t="s">
        <v>24</v>
      </c>
      <c r="O35" s="2" t="s">
        <v>32</v>
      </c>
    </row>
    <row r="36" spans="1:15" x14ac:dyDescent="0.25">
      <c r="A36" s="2" t="s">
        <v>155</v>
      </c>
      <c r="B36" s="2" t="s">
        <v>156</v>
      </c>
      <c r="C36" s="2" t="s">
        <v>157</v>
      </c>
      <c r="D36" s="2" t="s">
        <v>158</v>
      </c>
      <c r="E36" s="2" t="s">
        <v>19</v>
      </c>
      <c r="F36" s="2" t="s">
        <v>20</v>
      </c>
      <c r="G36" s="2">
        <v>1</v>
      </c>
      <c r="H36" s="6">
        <v>3.3</v>
      </c>
      <c r="I36" s="6">
        <v>3.3</v>
      </c>
      <c r="J36" s="2">
        <v>521</v>
      </c>
      <c r="K36" s="2" t="s">
        <v>115</v>
      </c>
      <c r="L36" s="2" t="s">
        <v>159</v>
      </c>
      <c r="M36" s="2" t="s">
        <v>25</v>
      </c>
      <c r="N36" s="2" t="s">
        <v>25</v>
      </c>
      <c r="O36" s="2" t="s">
        <v>25</v>
      </c>
    </row>
    <row r="37" spans="1:15" x14ac:dyDescent="0.25">
      <c r="A37" s="2" t="s">
        <v>160</v>
      </c>
      <c r="B37" s="2" t="s">
        <v>118</v>
      </c>
      <c r="C37" s="2" t="s">
        <v>161</v>
      </c>
      <c r="D37" s="2" t="s">
        <v>162</v>
      </c>
      <c r="E37" s="2" t="s">
        <v>19</v>
      </c>
      <c r="F37" s="2" t="s">
        <v>20</v>
      </c>
      <c r="G37" s="2">
        <v>1</v>
      </c>
      <c r="H37" s="6">
        <v>0.26</v>
      </c>
      <c r="I37" s="6">
        <v>0.26</v>
      </c>
      <c r="J37" s="2">
        <v>246</v>
      </c>
      <c r="K37" s="2" t="s">
        <v>163</v>
      </c>
      <c r="L37" s="2" t="s">
        <v>164</v>
      </c>
      <c r="M37" s="2" t="s">
        <v>23</v>
      </c>
      <c r="N37" s="2" t="s">
        <v>24</v>
      </c>
      <c r="O37" s="2" t="s">
        <v>32</v>
      </c>
    </row>
    <row r="38" spans="1:15" x14ac:dyDescent="0.25">
      <c r="A38" s="2" t="s">
        <v>165</v>
      </c>
      <c r="B38" s="2" t="s">
        <v>67</v>
      </c>
      <c r="C38" s="2" t="s">
        <v>166</v>
      </c>
      <c r="D38" s="2" t="s">
        <v>167</v>
      </c>
      <c r="E38" s="2" t="s">
        <v>19</v>
      </c>
      <c r="F38" s="2" t="s">
        <v>20</v>
      </c>
      <c r="G38" s="2">
        <v>19</v>
      </c>
      <c r="H38" s="6">
        <v>5.7000000000000002E-2</v>
      </c>
      <c r="I38" s="6">
        <v>1.08</v>
      </c>
      <c r="J38" s="2">
        <v>24018</v>
      </c>
      <c r="K38" s="2" t="s">
        <v>168</v>
      </c>
      <c r="L38" s="2" t="s">
        <v>169</v>
      </c>
      <c r="M38" s="2" t="s">
        <v>23</v>
      </c>
      <c r="N38" s="2" t="s">
        <v>24</v>
      </c>
      <c r="O38" s="2" t="s">
        <v>32</v>
      </c>
    </row>
    <row r="39" spans="1:15" x14ac:dyDescent="0.25">
      <c r="A39" s="2" t="s">
        <v>81</v>
      </c>
      <c r="B39" s="2" t="s">
        <v>82</v>
      </c>
      <c r="C39" s="2" t="s">
        <v>83</v>
      </c>
      <c r="D39" s="2" t="s">
        <v>170</v>
      </c>
      <c r="E39" s="2" t="s">
        <v>19</v>
      </c>
      <c r="F39" s="2" t="s">
        <v>20</v>
      </c>
      <c r="G39" s="2">
        <v>1</v>
      </c>
      <c r="H39" s="6">
        <v>0.1</v>
      </c>
      <c r="I39" s="6">
        <v>0.1</v>
      </c>
      <c r="J39" s="2">
        <v>2509617</v>
      </c>
      <c r="K39" s="2" t="s">
        <v>41</v>
      </c>
      <c r="L39" s="2" t="s">
        <v>85</v>
      </c>
      <c r="M39" s="2" t="s">
        <v>23</v>
      </c>
      <c r="N39" s="2" t="s">
        <v>24</v>
      </c>
      <c r="O39" s="2" t="s">
        <v>32</v>
      </c>
    </row>
    <row r="40" spans="1:15" x14ac:dyDescent="0.25">
      <c r="A40" s="2" t="s">
        <v>86</v>
      </c>
      <c r="B40" s="2" t="s">
        <v>87</v>
      </c>
      <c r="C40" s="2" t="s">
        <v>88</v>
      </c>
      <c r="D40" s="2" t="s">
        <v>171</v>
      </c>
      <c r="E40" s="2" t="s">
        <v>19</v>
      </c>
      <c r="F40" s="2" t="s">
        <v>20</v>
      </c>
      <c r="G40" s="2">
        <v>1</v>
      </c>
      <c r="H40" s="6">
        <v>0.1</v>
      </c>
      <c r="I40" s="6">
        <v>0.1</v>
      </c>
      <c r="J40" s="2">
        <v>83167</v>
      </c>
      <c r="K40" s="2" t="s">
        <v>90</v>
      </c>
      <c r="L40" s="2" t="s">
        <v>91</v>
      </c>
      <c r="M40" s="2" t="s">
        <v>54</v>
      </c>
      <c r="N40" s="2" t="s">
        <v>24</v>
      </c>
      <c r="O40" s="2" t="s">
        <v>25</v>
      </c>
    </row>
    <row r="41" spans="1:15" x14ac:dyDescent="0.25">
      <c r="A41" s="2" t="s">
        <v>172</v>
      </c>
      <c r="B41" s="2" t="s">
        <v>72</v>
      </c>
      <c r="C41" s="2" t="s">
        <v>173</v>
      </c>
      <c r="D41" s="2" t="s">
        <v>174</v>
      </c>
      <c r="E41" s="2" t="s">
        <v>19</v>
      </c>
      <c r="F41" s="2" t="s">
        <v>20</v>
      </c>
      <c r="G41" s="2">
        <v>1</v>
      </c>
      <c r="H41" s="6">
        <v>0.1</v>
      </c>
      <c r="I41" s="6">
        <v>0.1</v>
      </c>
      <c r="J41" s="2">
        <v>1050240</v>
      </c>
      <c r="K41" s="2" t="s">
        <v>21</v>
      </c>
      <c r="L41" s="2" t="s">
        <v>175</v>
      </c>
      <c r="M41" s="2" t="s">
        <v>23</v>
      </c>
      <c r="N41" s="2" t="s">
        <v>24</v>
      </c>
      <c r="O41" s="2" t="s">
        <v>32</v>
      </c>
    </row>
    <row r="42" spans="1:15" x14ac:dyDescent="0.25">
      <c r="A42" s="2" t="s">
        <v>176</v>
      </c>
      <c r="B42" s="2" t="s">
        <v>93</v>
      </c>
      <c r="C42" s="2" t="s">
        <v>177</v>
      </c>
      <c r="D42" s="2" t="s">
        <v>178</v>
      </c>
      <c r="E42" s="2" t="s">
        <v>51</v>
      </c>
      <c r="F42" s="2" t="s">
        <v>20</v>
      </c>
      <c r="G42" s="2">
        <v>2</v>
      </c>
      <c r="H42" s="6">
        <v>0.1</v>
      </c>
      <c r="I42" s="6">
        <v>0.2</v>
      </c>
      <c r="J42" s="2">
        <v>67015</v>
      </c>
      <c r="K42" s="2" t="s">
        <v>144</v>
      </c>
      <c r="L42" s="2" t="s">
        <v>179</v>
      </c>
      <c r="M42" s="2" t="s">
        <v>54</v>
      </c>
      <c r="N42" s="2" t="s">
        <v>24</v>
      </c>
      <c r="O42" s="2" t="s">
        <v>25</v>
      </c>
    </row>
    <row r="43" spans="1:15" x14ac:dyDescent="0.25">
      <c r="A43" s="2" t="s">
        <v>180</v>
      </c>
      <c r="B43" s="2" t="s">
        <v>112</v>
      </c>
      <c r="C43" s="2" t="s">
        <v>181</v>
      </c>
      <c r="D43" s="2" t="s">
        <v>182</v>
      </c>
      <c r="E43" s="2" t="s">
        <v>19</v>
      </c>
      <c r="F43" s="2" t="s">
        <v>20</v>
      </c>
      <c r="G43" s="2">
        <v>1</v>
      </c>
      <c r="H43" s="6">
        <v>1.17</v>
      </c>
      <c r="I43" s="6">
        <v>1.17</v>
      </c>
      <c r="J43" s="2">
        <v>0</v>
      </c>
      <c r="K43" s="2" t="s">
        <v>183</v>
      </c>
      <c r="L43" s="2" t="s">
        <v>184</v>
      </c>
      <c r="M43" s="2" t="s">
        <v>23</v>
      </c>
      <c r="N43" s="2" t="s">
        <v>24</v>
      </c>
      <c r="O43" s="2" t="s">
        <v>32</v>
      </c>
    </row>
    <row r="44" spans="1:15" x14ac:dyDescent="0.25">
      <c r="A44" s="2" t="s">
        <v>111</v>
      </c>
      <c r="B44" s="2" t="s">
        <v>112</v>
      </c>
      <c r="C44" s="2" t="s">
        <v>113</v>
      </c>
      <c r="D44" s="2" t="s">
        <v>185</v>
      </c>
      <c r="E44" s="2" t="s">
        <v>19</v>
      </c>
      <c r="F44" s="2" t="s">
        <v>20</v>
      </c>
      <c r="G44" s="2">
        <v>1</v>
      </c>
      <c r="H44" s="6">
        <v>5.69</v>
      </c>
      <c r="I44" s="6">
        <v>5.69</v>
      </c>
      <c r="J44" s="2">
        <v>3465</v>
      </c>
      <c r="K44" s="2" t="s">
        <v>115</v>
      </c>
      <c r="L44" s="2" t="s">
        <v>116</v>
      </c>
      <c r="M44" s="2" t="s">
        <v>23</v>
      </c>
      <c r="N44" s="2" t="s">
        <v>24</v>
      </c>
      <c r="O44" s="2" t="s">
        <v>32</v>
      </c>
    </row>
    <row r="45" spans="1:15" x14ac:dyDescent="0.25">
      <c r="A45" s="2" t="s">
        <v>186</v>
      </c>
      <c r="B45" s="2" t="s">
        <v>112</v>
      </c>
      <c r="C45" s="2" t="s">
        <v>187</v>
      </c>
      <c r="D45" s="2" t="s">
        <v>188</v>
      </c>
      <c r="E45" s="2" t="s">
        <v>96</v>
      </c>
      <c r="F45" s="2" t="s">
        <v>20</v>
      </c>
      <c r="G45" s="2">
        <v>3</v>
      </c>
      <c r="H45" s="6">
        <v>0.69</v>
      </c>
      <c r="I45" s="6">
        <v>2.0699999999999998</v>
      </c>
      <c r="J45" s="2">
        <v>932</v>
      </c>
      <c r="K45" s="2" t="s">
        <v>109</v>
      </c>
      <c r="L45" s="2" t="s">
        <v>189</v>
      </c>
      <c r="M45" s="2" t="s">
        <v>23</v>
      </c>
      <c r="N45" s="2" t="s">
        <v>24</v>
      </c>
      <c r="O45" s="2" t="s">
        <v>32</v>
      </c>
    </row>
    <row r="46" spans="1:15" x14ac:dyDescent="0.25">
      <c r="A46" s="2" t="s">
        <v>190</v>
      </c>
      <c r="B46" s="2" t="s">
        <v>112</v>
      </c>
      <c r="C46" s="2" t="s">
        <v>191</v>
      </c>
      <c r="D46" s="2" t="s">
        <v>192</v>
      </c>
      <c r="E46" s="2" t="s">
        <v>19</v>
      </c>
      <c r="F46" s="2" t="s">
        <v>20</v>
      </c>
      <c r="G46" s="2">
        <v>1</v>
      </c>
      <c r="H46" s="6">
        <v>0.95</v>
      </c>
      <c r="I46" s="6">
        <v>0.95</v>
      </c>
      <c r="J46" s="2">
        <v>833</v>
      </c>
      <c r="K46" s="2" t="s">
        <v>109</v>
      </c>
      <c r="L46" s="2" t="s">
        <v>193</v>
      </c>
      <c r="M46" s="2" t="s">
        <v>23</v>
      </c>
      <c r="N46" s="2" t="s">
        <v>24</v>
      </c>
      <c r="O46" s="2" t="s">
        <v>32</v>
      </c>
    </row>
    <row r="47" spans="1:15" x14ac:dyDescent="0.25">
      <c r="A47" s="2" t="s">
        <v>117</v>
      </c>
      <c r="B47" s="2" t="s">
        <v>118</v>
      </c>
      <c r="C47" s="2" t="s">
        <v>119</v>
      </c>
      <c r="D47" s="2" t="s">
        <v>194</v>
      </c>
      <c r="E47" s="2" t="s">
        <v>19</v>
      </c>
      <c r="F47" s="2" t="s">
        <v>20</v>
      </c>
      <c r="G47" s="2">
        <v>2</v>
      </c>
      <c r="H47" s="6">
        <v>0.34</v>
      </c>
      <c r="I47" s="6">
        <v>0.68</v>
      </c>
      <c r="J47" s="2">
        <v>0</v>
      </c>
      <c r="K47" s="2" t="s">
        <v>41</v>
      </c>
      <c r="L47" s="2" t="s">
        <v>121</v>
      </c>
      <c r="M47" s="2" t="s">
        <v>23</v>
      </c>
      <c r="N47" s="2" t="s">
        <v>24</v>
      </c>
      <c r="O47" s="2" t="s">
        <v>32</v>
      </c>
    </row>
    <row r="48" spans="1:15" ht="16.5" customHeight="1" x14ac:dyDescent="0.25">
      <c r="A48" s="2" t="s">
        <v>195</v>
      </c>
      <c r="B48" s="2" t="s">
        <v>196</v>
      </c>
      <c r="C48" s="2" t="s">
        <v>197</v>
      </c>
      <c r="D48" s="2" t="s">
        <v>198</v>
      </c>
      <c r="E48" s="2" t="s">
        <v>19</v>
      </c>
      <c r="F48" s="2" t="s">
        <v>199</v>
      </c>
      <c r="G48" s="2">
        <v>1</v>
      </c>
      <c r="H48" s="6">
        <v>3.54</v>
      </c>
      <c r="I48" s="6">
        <v>3.54</v>
      </c>
      <c r="J48" s="2">
        <v>3335</v>
      </c>
      <c r="K48" s="2" t="s">
        <v>21</v>
      </c>
      <c r="L48" s="2" t="s">
        <v>200</v>
      </c>
      <c r="M48" s="2" t="s">
        <v>23</v>
      </c>
      <c r="N48" s="2" t="s">
        <v>24</v>
      </c>
      <c r="O48" s="2" t="s">
        <v>25</v>
      </c>
    </row>
    <row r="49" spans="1:15" ht="16.5" customHeight="1" x14ac:dyDescent="0.25">
      <c r="A49" s="9"/>
      <c r="B49" s="9"/>
      <c r="C49" s="9"/>
      <c r="D49" s="9"/>
      <c r="E49" s="9"/>
      <c r="F49" s="9"/>
      <c r="G49" s="9"/>
      <c r="H49" s="9"/>
      <c r="I49" s="6"/>
      <c r="J49" s="9"/>
      <c r="K49" s="9"/>
      <c r="L49" s="9"/>
      <c r="M49" s="9"/>
      <c r="N49" s="9"/>
      <c r="O49" s="9"/>
    </row>
    <row r="50" spans="1:15" ht="16.5" customHeight="1" x14ac:dyDescent="0.25">
      <c r="A50" s="9"/>
      <c r="B50" s="9"/>
      <c r="C50" s="9"/>
      <c r="D50" s="9"/>
      <c r="E50" s="9"/>
      <c r="F50" s="9"/>
      <c r="G50" s="9"/>
      <c r="H50" s="9"/>
      <c r="I50" s="6"/>
      <c r="J50" s="9"/>
      <c r="K50" s="9"/>
      <c r="L50" s="9"/>
      <c r="M50" s="9"/>
      <c r="N50" s="9"/>
      <c r="O50" s="9"/>
    </row>
    <row r="51" spans="1:15" ht="16.5" customHeight="1" x14ac:dyDescent="0.25">
      <c r="A51" s="9"/>
      <c r="B51" s="9"/>
      <c r="C51" s="9"/>
      <c r="D51" s="9"/>
      <c r="E51" s="9"/>
      <c r="F51" s="9"/>
      <c r="G51" s="9"/>
      <c r="H51" s="9"/>
      <c r="I51" s="6"/>
      <c r="J51" s="9"/>
      <c r="K51" s="9"/>
      <c r="L51" s="9"/>
      <c r="M51" s="9"/>
      <c r="N51" s="9"/>
      <c r="O51" s="9"/>
    </row>
    <row r="52" spans="1:15" ht="27.75" customHeight="1" x14ac:dyDescent="0.45">
      <c r="A52" s="49" t="s">
        <v>205</v>
      </c>
      <c r="B52" s="49"/>
      <c r="C52" s="49"/>
      <c r="D52" s="49"/>
      <c r="E52" s="49"/>
      <c r="F52" s="49"/>
      <c r="G52" s="49"/>
      <c r="H52" s="49"/>
      <c r="I52" s="7">
        <f>SUM(Table2[Extended Price])</f>
        <v>34.43</v>
      </c>
    </row>
    <row r="53" spans="1:15" ht="41.25" customHeight="1" x14ac:dyDescent="0.5">
      <c r="A53" s="52" t="s">
        <v>204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</row>
    <row r="54" spans="1:15" x14ac:dyDescent="0.25">
      <c r="A54" s="11" t="s">
        <v>0</v>
      </c>
      <c r="B54" s="11" t="s">
        <v>1</v>
      </c>
      <c r="C54" s="11" t="s">
        <v>2</v>
      </c>
      <c r="D54" s="11" t="s">
        <v>3</v>
      </c>
      <c r="E54" s="11" t="s">
        <v>4</v>
      </c>
      <c r="F54" s="11" t="s">
        <v>5</v>
      </c>
      <c r="G54" s="11" t="s">
        <v>6</v>
      </c>
      <c r="H54" s="11" t="s">
        <v>7</v>
      </c>
      <c r="I54" s="11" t="s">
        <v>8</v>
      </c>
      <c r="J54" s="11" t="s">
        <v>9</v>
      </c>
      <c r="K54" s="11" t="s">
        <v>10</v>
      </c>
      <c r="L54" s="11" t="s">
        <v>11</v>
      </c>
      <c r="M54" s="11" t="s">
        <v>12</v>
      </c>
      <c r="N54" s="11" t="s">
        <v>13</v>
      </c>
      <c r="O54" s="11" t="s">
        <v>14</v>
      </c>
    </row>
    <row r="55" spans="1:15" x14ac:dyDescent="0.25">
      <c r="A55" s="8" t="s">
        <v>206</v>
      </c>
      <c r="B55" s="8" t="s">
        <v>207</v>
      </c>
      <c r="C55" s="8" t="s">
        <v>208</v>
      </c>
      <c r="D55" s="8" t="s">
        <v>209</v>
      </c>
      <c r="E55" s="8" t="s">
        <v>210</v>
      </c>
      <c r="F55" s="8" t="s">
        <v>20</v>
      </c>
      <c r="G55" s="8">
        <v>3</v>
      </c>
      <c r="H55" s="10">
        <v>4.5</v>
      </c>
      <c r="I55" s="10">
        <v>13.5</v>
      </c>
      <c r="J55" s="8">
        <v>1125</v>
      </c>
      <c r="K55" s="8" t="s">
        <v>133</v>
      </c>
      <c r="L55" s="8" t="s">
        <v>211</v>
      </c>
      <c r="M55" s="8" t="s">
        <v>23</v>
      </c>
      <c r="N55" s="8" t="s">
        <v>24</v>
      </c>
      <c r="O55" s="8" t="s">
        <v>25</v>
      </c>
    </row>
    <row r="56" spans="1:15" x14ac:dyDescent="0.25">
      <c r="A56" s="8" t="s">
        <v>212</v>
      </c>
      <c r="B56" s="8" t="s">
        <v>207</v>
      </c>
      <c r="C56" s="8" t="s">
        <v>213</v>
      </c>
      <c r="D56" s="8" t="s">
        <v>214</v>
      </c>
      <c r="E56" s="8" t="s">
        <v>51</v>
      </c>
      <c r="F56" s="8" t="s">
        <v>20</v>
      </c>
      <c r="G56" s="8">
        <v>3</v>
      </c>
      <c r="H56" s="10">
        <v>2.75</v>
      </c>
      <c r="I56" s="10">
        <v>8.25</v>
      </c>
      <c r="J56" s="8">
        <v>8439</v>
      </c>
      <c r="K56" s="8" t="s">
        <v>215</v>
      </c>
      <c r="L56" s="8" t="s">
        <v>216</v>
      </c>
      <c r="M56" s="8" t="s">
        <v>23</v>
      </c>
      <c r="N56" s="8" t="s">
        <v>24</v>
      </c>
      <c r="O56" s="8" t="s">
        <v>25</v>
      </c>
    </row>
    <row r="57" spans="1:15" x14ac:dyDescent="0.25">
      <c r="A57" s="8" t="s">
        <v>217</v>
      </c>
      <c r="B57" s="8" t="s">
        <v>218</v>
      </c>
      <c r="C57" s="8" t="s">
        <v>219</v>
      </c>
      <c r="D57" s="8" t="s">
        <v>230</v>
      </c>
      <c r="E57" s="8" t="s">
        <v>51</v>
      </c>
      <c r="F57" s="8" t="s">
        <v>20</v>
      </c>
      <c r="G57" s="8">
        <v>4</v>
      </c>
      <c r="H57" s="10">
        <v>11.63</v>
      </c>
      <c r="I57" s="10">
        <v>46.52</v>
      </c>
      <c r="J57" s="8">
        <v>40</v>
      </c>
      <c r="K57" s="8" t="s">
        <v>58</v>
      </c>
      <c r="L57" s="8" t="s">
        <v>220</v>
      </c>
      <c r="M57" s="8" t="s">
        <v>54</v>
      </c>
      <c r="N57" s="8" t="s">
        <v>24</v>
      </c>
      <c r="O57" s="8" t="s">
        <v>25</v>
      </c>
    </row>
    <row r="58" spans="1:15" x14ac:dyDescent="0.25">
      <c r="A58" s="8" t="s">
        <v>221</v>
      </c>
      <c r="B58" s="8" t="s">
        <v>222</v>
      </c>
      <c r="C58" s="8" t="s">
        <v>223</v>
      </c>
      <c r="D58" s="8" t="s">
        <v>224</v>
      </c>
      <c r="E58" s="8" t="s">
        <v>210</v>
      </c>
      <c r="F58" s="8" t="s">
        <v>20</v>
      </c>
      <c r="G58" s="8">
        <v>1</v>
      </c>
      <c r="H58" s="10">
        <v>36.58</v>
      </c>
      <c r="I58" s="10">
        <v>36.58</v>
      </c>
      <c r="J58" s="8">
        <v>325</v>
      </c>
      <c r="K58" s="8" t="s">
        <v>133</v>
      </c>
      <c r="L58" s="8" t="s">
        <v>225</v>
      </c>
      <c r="M58" s="8" t="s">
        <v>23</v>
      </c>
      <c r="N58" s="8" t="s">
        <v>24</v>
      </c>
      <c r="O58" s="8" t="s">
        <v>25</v>
      </c>
    </row>
    <row r="59" spans="1:15" x14ac:dyDescent="0.25">
      <c r="A59" s="8" t="s">
        <v>226</v>
      </c>
      <c r="B59" s="8" t="s">
        <v>227</v>
      </c>
      <c r="C59" s="8"/>
      <c r="D59" s="8" t="s">
        <v>228</v>
      </c>
      <c r="E59" s="8" t="s">
        <v>210</v>
      </c>
      <c r="F59" s="8" t="s">
        <v>20</v>
      </c>
      <c r="G59" s="8">
        <v>1</v>
      </c>
      <c r="H59" s="10">
        <v>59</v>
      </c>
      <c r="I59" s="10">
        <f>Table5[[#This Row],[Unit Price]]*Table5[[#This Row],[Quantity]]</f>
        <v>59</v>
      </c>
      <c r="J59" s="8">
        <v>2</v>
      </c>
      <c r="K59" s="8"/>
      <c r="L59" s="8" t="s">
        <v>229</v>
      </c>
      <c r="M59" s="8" t="s">
        <v>23</v>
      </c>
      <c r="N59" s="8" t="s">
        <v>24</v>
      </c>
      <c r="O59" s="8" t="s">
        <v>25</v>
      </c>
    </row>
    <row r="60" spans="1:15" x14ac:dyDescent="0.25">
      <c r="A60" s="8"/>
      <c r="B60" s="8"/>
      <c r="C60" s="8"/>
      <c r="D60" s="8"/>
      <c r="E60" s="8"/>
      <c r="F60" s="8"/>
      <c r="G60" s="8"/>
      <c r="H60" s="10"/>
      <c r="I60" s="10"/>
      <c r="J60" s="8"/>
      <c r="K60" s="8"/>
      <c r="L60" s="8"/>
      <c r="M60" s="8"/>
      <c r="N60" s="8"/>
      <c r="O60" s="8"/>
    </row>
    <row r="61" spans="1:15" x14ac:dyDescent="0.25">
      <c r="A61" s="12"/>
      <c r="B61" s="12"/>
      <c r="C61" s="12"/>
      <c r="D61" s="12"/>
      <c r="E61" s="12"/>
      <c r="F61" s="12"/>
      <c r="G61" s="12"/>
      <c r="H61" s="13"/>
      <c r="I61" s="13"/>
      <c r="J61" s="12"/>
      <c r="K61" s="12"/>
      <c r="L61" s="12"/>
      <c r="M61" s="12"/>
      <c r="N61" s="12"/>
      <c r="O61" s="12"/>
    </row>
    <row r="62" spans="1:15" x14ac:dyDescent="0.25">
      <c r="A62" s="12"/>
      <c r="B62" s="12"/>
      <c r="C62" s="12"/>
      <c r="D62" s="12"/>
      <c r="E62" s="12"/>
      <c r="F62" s="12"/>
      <c r="G62" s="12"/>
      <c r="H62" s="13"/>
      <c r="I62" s="13"/>
      <c r="J62" s="12"/>
      <c r="K62" s="12"/>
      <c r="L62" s="12"/>
      <c r="M62" s="12"/>
      <c r="N62" s="12"/>
      <c r="O62" s="12"/>
    </row>
    <row r="63" spans="1:15" ht="27.75" customHeight="1" x14ac:dyDescent="0.45">
      <c r="A63" s="49" t="s">
        <v>205</v>
      </c>
      <c r="B63" s="49"/>
      <c r="C63" s="49"/>
      <c r="D63" s="49"/>
      <c r="E63" s="49"/>
      <c r="F63" s="49"/>
      <c r="G63" s="49"/>
      <c r="H63" s="49"/>
      <c r="I63" s="7">
        <f>SUM(Table5[Extended Price])</f>
        <v>163.85000000000002</v>
      </c>
    </row>
    <row r="65" customFormat="1" x14ac:dyDescent="0.25"/>
    <row r="66" customFormat="1" x14ac:dyDescent="0.25"/>
    <row r="67" customFormat="1" x14ac:dyDescent="0.25"/>
  </sheetData>
  <mergeCells count="6">
    <mergeCell ref="A63:H63"/>
    <mergeCell ref="A1:O1"/>
    <mergeCell ref="A25:O25"/>
    <mergeCell ref="A53:O53"/>
    <mergeCell ref="A24:H24"/>
    <mergeCell ref="A52:H52"/>
  </mergeCells>
  <conditionalFormatting sqref="I27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I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BB3BB-C29D-41B2-82D5-D9E5E331DAA0}">
  <dimension ref="A1:AF69"/>
  <sheetViews>
    <sheetView topLeftCell="A43" workbookViewId="0">
      <selection activeCell="I17" sqref="A17:I17"/>
    </sheetView>
  </sheetViews>
  <sheetFormatPr defaultRowHeight="15" x14ac:dyDescent="0.25"/>
  <cols>
    <col min="1" max="1" width="27.5703125" bestFit="1" customWidth="1"/>
    <col min="2" max="2" width="15.5703125" bestFit="1" customWidth="1"/>
    <col min="3" max="3" width="22.7109375" bestFit="1" customWidth="1"/>
    <col min="4" max="4" width="21.7109375" bestFit="1" customWidth="1"/>
    <col min="5" max="5" width="12" bestFit="1" customWidth="1"/>
    <col min="6" max="6" width="12.7109375" bestFit="1" customWidth="1"/>
    <col min="7" max="7" width="11" bestFit="1" customWidth="1"/>
    <col min="8" max="8" width="12" bestFit="1" customWidth="1"/>
    <col min="9" max="9" width="18.140625" bestFit="1" customWidth="1"/>
    <col min="10" max="10" width="20" bestFit="1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</cols>
  <sheetData>
    <row r="1" spans="1:32" ht="55.5" customHeight="1" x14ac:dyDescent="0.55000000000000004">
      <c r="A1" s="54" t="s">
        <v>237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Q1" s="19" t="s">
        <v>0</v>
      </c>
      <c r="R1" s="20" t="s">
        <v>1</v>
      </c>
      <c r="S1" s="20" t="s">
        <v>2</v>
      </c>
      <c r="T1" s="20" t="s">
        <v>3</v>
      </c>
      <c r="U1" s="20" t="s">
        <v>4</v>
      </c>
      <c r="V1" s="20" t="s">
        <v>5</v>
      </c>
      <c r="W1" s="20" t="s">
        <v>6</v>
      </c>
      <c r="X1" s="20" t="s">
        <v>7</v>
      </c>
      <c r="Y1" s="21" t="s">
        <v>8</v>
      </c>
      <c r="Z1" s="20" t="s">
        <v>9</v>
      </c>
      <c r="AA1" s="20" t="s">
        <v>10</v>
      </c>
      <c r="AB1" s="20" t="s">
        <v>11</v>
      </c>
      <c r="AC1" s="20" t="s">
        <v>12</v>
      </c>
      <c r="AD1" s="20" t="s">
        <v>13</v>
      </c>
      <c r="AE1" s="22" t="s">
        <v>14</v>
      </c>
      <c r="AF1" s="22" t="s">
        <v>238</v>
      </c>
    </row>
    <row r="2" spans="1:32" x14ac:dyDescent="0.25">
      <c r="A2" s="14" t="s">
        <v>0</v>
      </c>
      <c r="B2" s="15" t="s">
        <v>1</v>
      </c>
      <c r="C2" s="15" t="s">
        <v>263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6" t="s">
        <v>8</v>
      </c>
      <c r="J2" s="15" t="s">
        <v>9</v>
      </c>
      <c r="K2" s="15" t="s">
        <v>10</v>
      </c>
      <c r="L2" s="15" t="s">
        <v>11</v>
      </c>
      <c r="M2" s="15" t="s">
        <v>12</v>
      </c>
      <c r="N2" s="15" t="s">
        <v>13</v>
      </c>
      <c r="O2" s="17" t="s">
        <v>14</v>
      </c>
      <c r="P2" s="18" t="s">
        <v>238</v>
      </c>
    </row>
    <row r="3" spans="1:32" x14ac:dyDescent="0.25">
      <c r="A3" t="s">
        <v>232</v>
      </c>
      <c r="B3" t="s">
        <v>233</v>
      </c>
      <c r="C3" t="s">
        <v>264</v>
      </c>
      <c r="D3" t="s">
        <v>234</v>
      </c>
      <c r="E3" t="s">
        <v>210</v>
      </c>
      <c r="F3" t="s">
        <v>20</v>
      </c>
      <c r="G3">
        <v>2</v>
      </c>
      <c r="H3" s="5">
        <v>1</v>
      </c>
      <c r="I3" s="5">
        <f>RBA[[#This Row],[Unit Price]]*RBA[[#This Row],[Quantity]]</f>
        <v>2</v>
      </c>
      <c r="J3" t="s">
        <v>235</v>
      </c>
      <c r="K3" t="s">
        <v>235</v>
      </c>
      <c r="L3" t="s">
        <v>236</v>
      </c>
      <c r="M3" t="s">
        <v>235</v>
      </c>
      <c r="N3" t="s">
        <v>235</v>
      </c>
      <c r="O3" t="s">
        <v>235</v>
      </c>
      <c r="P3" t="s">
        <v>239</v>
      </c>
    </row>
    <row r="4" spans="1:32" x14ac:dyDescent="0.25">
      <c r="A4" t="s">
        <v>251</v>
      </c>
      <c r="B4" t="s">
        <v>252</v>
      </c>
      <c r="C4" t="s">
        <v>264</v>
      </c>
      <c r="D4" t="s">
        <v>240</v>
      </c>
      <c r="E4" t="s">
        <v>241</v>
      </c>
      <c r="F4" t="s">
        <v>20</v>
      </c>
      <c r="G4">
        <v>2</v>
      </c>
      <c r="H4">
        <f>(16.68/100)</f>
        <v>0.1668</v>
      </c>
      <c r="I4" s="5">
        <f>RBA[[#This Row],[Unit Price]]*RBA[[#This Row],[Quantity]]</f>
        <v>0.33360000000000001</v>
      </c>
      <c r="J4" t="s">
        <v>235</v>
      </c>
      <c r="K4" t="s">
        <v>235</v>
      </c>
      <c r="L4" t="s">
        <v>242</v>
      </c>
      <c r="M4" t="s">
        <v>235</v>
      </c>
      <c r="N4" t="s">
        <v>235</v>
      </c>
      <c r="O4" t="s">
        <v>235</v>
      </c>
      <c r="P4" t="s">
        <v>243</v>
      </c>
    </row>
    <row r="5" spans="1:32" x14ac:dyDescent="0.25">
      <c r="A5" t="s">
        <v>244</v>
      </c>
      <c r="B5" t="s">
        <v>245</v>
      </c>
      <c r="C5" t="s">
        <v>245</v>
      </c>
      <c r="D5" t="s">
        <v>246</v>
      </c>
      <c r="E5" t="s">
        <v>210</v>
      </c>
      <c r="F5" t="s">
        <v>20</v>
      </c>
      <c r="G5">
        <v>120</v>
      </c>
      <c r="H5" s="5">
        <f>0.28/25.4</f>
        <v>1.1023622047244096E-2</v>
      </c>
      <c r="I5" s="5">
        <f>RBA[[#This Row],[Unit Price]]*RBA[[#This Row],[Quantity]]</f>
        <v>1.3228346456692914</v>
      </c>
      <c r="J5" t="s">
        <v>235</v>
      </c>
      <c r="K5" t="s">
        <v>235</v>
      </c>
      <c r="L5" t="s">
        <v>248</v>
      </c>
      <c r="M5" t="s">
        <v>235</v>
      </c>
      <c r="N5" t="s">
        <v>235</v>
      </c>
      <c r="O5" t="s">
        <v>235</v>
      </c>
      <c r="P5" t="s">
        <v>247</v>
      </c>
    </row>
    <row r="6" spans="1:32" x14ac:dyDescent="0.25">
      <c r="B6" t="s">
        <v>250</v>
      </c>
      <c r="C6" t="s">
        <v>264</v>
      </c>
      <c r="D6" t="s">
        <v>281</v>
      </c>
      <c r="E6" t="s">
        <v>241</v>
      </c>
      <c r="F6" t="s">
        <v>20</v>
      </c>
      <c r="G6">
        <v>2</v>
      </c>
      <c r="H6">
        <f>9.49/100</f>
        <v>9.4899999999999998E-2</v>
      </c>
      <c r="I6" s="5">
        <f>RBA[[#This Row],[Unit Price]]*RBA[[#This Row],[Quantity]]</f>
        <v>0.1898</v>
      </c>
      <c r="J6" t="s">
        <v>235</v>
      </c>
      <c r="K6" t="s">
        <v>235</v>
      </c>
      <c r="L6" t="s">
        <v>249</v>
      </c>
      <c r="M6" t="s">
        <v>235</v>
      </c>
      <c r="N6" t="s">
        <v>235</v>
      </c>
      <c r="O6" t="s">
        <v>235</v>
      </c>
      <c r="P6" t="s">
        <v>243</v>
      </c>
    </row>
    <row r="7" spans="1:32" x14ac:dyDescent="0.25">
      <c r="A7" t="s">
        <v>254</v>
      </c>
      <c r="B7" t="s">
        <v>253</v>
      </c>
      <c r="C7" t="s">
        <v>264</v>
      </c>
      <c r="D7" t="s">
        <v>256</v>
      </c>
      <c r="E7" t="s">
        <v>255</v>
      </c>
      <c r="F7" t="s">
        <v>20</v>
      </c>
      <c r="G7">
        <v>2</v>
      </c>
      <c r="H7" s="5">
        <f>22.64*0.002</f>
        <v>4.5280000000000001E-2</v>
      </c>
      <c r="I7" s="5">
        <f>RBA[[#This Row],[Unit Price]]*RBA[[#This Row],[Quantity]]</f>
        <v>9.0560000000000002E-2</v>
      </c>
      <c r="J7" t="s">
        <v>235</v>
      </c>
      <c r="K7" t="s">
        <v>235</v>
      </c>
      <c r="L7" t="s">
        <v>257</v>
      </c>
      <c r="M7" t="s">
        <v>235</v>
      </c>
      <c r="N7" t="s">
        <v>235</v>
      </c>
      <c r="O7" t="s">
        <v>235</v>
      </c>
      <c r="P7" t="s">
        <v>258</v>
      </c>
    </row>
    <row r="8" spans="1:32" ht="27.75" customHeight="1" x14ac:dyDescent="0.45">
      <c r="A8" s="49" t="s">
        <v>205</v>
      </c>
      <c r="B8" s="49"/>
      <c r="C8" s="49"/>
      <c r="D8" s="49"/>
      <c r="E8" s="49"/>
      <c r="F8" s="49"/>
      <c r="G8" s="49"/>
      <c r="H8" s="49"/>
      <c r="I8" s="5">
        <f>SUM(RBA[Extended Price])</f>
        <v>3.9367946456692913</v>
      </c>
    </row>
    <row r="10" spans="1:32" ht="60.75" customHeight="1" x14ac:dyDescent="0.55000000000000004">
      <c r="A10" s="55" t="s">
        <v>231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1:32" x14ac:dyDescent="0.25">
      <c r="A11" s="23" t="s">
        <v>0</v>
      </c>
      <c r="B11" s="24" t="s">
        <v>1</v>
      </c>
      <c r="C11" s="24" t="s">
        <v>263</v>
      </c>
      <c r="D11" s="24" t="s">
        <v>3</v>
      </c>
      <c r="E11" s="24" t="s">
        <v>4</v>
      </c>
      <c r="F11" s="24" t="s">
        <v>5</v>
      </c>
      <c r="G11" s="24" t="s">
        <v>6</v>
      </c>
      <c r="H11" s="24" t="s">
        <v>7</v>
      </c>
      <c r="I11" s="25" t="s">
        <v>8</v>
      </c>
      <c r="J11" s="24" t="s">
        <v>9</v>
      </c>
      <c r="K11" s="24" t="s">
        <v>10</v>
      </c>
      <c r="L11" s="24" t="s">
        <v>11</v>
      </c>
      <c r="M11" s="24" t="s">
        <v>12</v>
      </c>
      <c r="N11" s="24" t="s">
        <v>13</v>
      </c>
      <c r="O11" s="26" t="s">
        <v>14</v>
      </c>
      <c r="P11" s="26" t="s">
        <v>238</v>
      </c>
    </row>
    <row r="12" spans="1:32" x14ac:dyDescent="0.25">
      <c r="A12" t="s">
        <v>235</v>
      </c>
      <c r="B12" t="s">
        <v>235</v>
      </c>
      <c r="C12" t="s">
        <v>265</v>
      </c>
      <c r="D12" t="s">
        <v>237</v>
      </c>
      <c r="G12">
        <v>2</v>
      </c>
      <c r="H12" s="5">
        <f>SUM(RBA[Extended Price])</f>
        <v>3.9367946456692913</v>
      </c>
      <c r="I12" s="5">
        <f>SRA[[#This Row],[Quantity]]*SRA[[#This Row],[Unit Price]]</f>
        <v>7.8735892913385825</v>
      </c>
      <c r="J12" t="s">
        <v>235</v>
      </c>
      <c r="K12" t="s">
        <v>235</v>
      </c>
      <c r="L12" t="s">
        <v>259</v>
      </c>
      <c r="M12" t="s">
        <v>235</v>
      </c>
      <c r="N12" t="s">
        <v>235</v>
      </c>
      <c r="O12" t="s">
        <v>235</v>
      </c>
      <c r="P12" t="s">
        <v>260</v>
      </c>
    </row>
    <row r="13" spans="1:32" x14ac:dyDescent="0.25">
      <c r="A13" t="s">
        <v>262</v>
      </c>
      <c r="B13" t="s">
        <v>266</v>
      </c>
      <c r="C13" t="s">
        <v>266</v>
      </c>
      <c r="D13" t="s">
        <v>261</v>
      </c>
      <c r="E13" t="s">
        <v>210</v>
      </c>
      <c r="F13" t="s">
        <v>20</v>
      </c>
      <c r="G13">
        <v>1</v>
      </c>
      <c r="H13" s="5">
        <v>1.8</v>
      </c>
      <c r="I13" s="5">
        <f>SRA[[#This Row],[Quantity]]*SRA[[#This Row],[Unit Price]]</f>
        <v>1.8</v>
      </c>
      <c r="J13">
        <v>8446</v>
      </c>
      <c r="K13" t="s">
        <v>235</v>
      </c>
      <c r="L13" t="s">
        <v>267</v>
      </c>
      <c r="M13" t="s">
        <v>235</v>
      </c>
      <c r="N13" t="s">
        <v>235</v>
      </c>
      <c r="O13" t="s">
        <v>235</v>
      </c>
    </row>
    <row r="14" spans="1:32" x14ac:dyDescent="0.25">
      <c r="A14" t="s">
        <v>244</v>
      </c>
      <c r="B14" t="s">
        <v>245</v>
      </c>
      <c r="C14" t="s">
        <v>264</v>
      </c>
      <c r="D14" t="s">
        <v>339</v>
      </c>
      <c r="E14" t="s">
        <v>210</v>
      </c>
      <c r="F14" t="s">
        <v>20</v>
      </c>
      <c r="G14">
        <f>Overall!L8*1000</f>
        <v>2000</v>
      </c>
      <c r="H14" s="5">
        <f>0.28/25.4</f>
        <v>1.1023622047244096E-2</v>
      </c>
      <c r="I14" s="5">
        <f>SRA[[#This Row],[Quantity]]*SRA[[#This Row],[Unit Price]]</f>
        <v>22.047244094488192</v>
      </c>
      <c r="J14" t="s">
        <v>235</v>
      </c>
      <c r="K14" t="s">
        <v>235</v>
      </c>
      <c r="L14" t="s">
        <v>268</v>
      </c>
      <c r="M14" t="s">
        <v>235</v>
      </c>
      <c r="N14" t="s">
        <v>235</v>
      </c>
      <c r="O14" t="s">
        <v>235</v>
      </c>
      <c r="P14" t="s">
        <v>247</v>
      </c>
    </row>
    <row r="15" spans="1:32" x14ac:dyDescent="0.25">
      <c r="A15" t="s">
        <v>244</v>
      </c>
      <c r="B15" t="s">
        <v>245</v>
      </c>
      <c r="C15" t="s">
        <v>264</v>
      </c>
      <c r="D15" t="s">
        <v>338</v>
      </c>
      <c r="E15" t="s">
        <v>210</v>
      </c>
      <c r="F15" t="s">
        <v>20</v>
      </c>
      <c r="G15">
        <f>Overall!L6*1000</f>
        <v>1500</v>
      </c>
      <c r="H15" s="5">
        <f>0.28/25.4</f>
        <v>1.1023622047244096E-2</v>
      </c>
      <c r="I15" s="5">
        <f>SRA[[#This Row],[Quantity]]*SRA[[#This Row],[Unit Price]]</f>
        <v>16.535433070866144</v>
      </c>
      <c r="J15" t="s">
        <v>235</v>
      </c>
      <c r="K15" t="s">
        <v>235</v>
      </c>
      <c r="L15" t="s">
        <v>268</v>
      </c>
      <c r="M15" t="s">
        <v>235</v>
      </c>
      <c r="N15" t="s">
        <v>235</v>
      </c>
      <c r="O15" t="s">
        <v>235</v>
      </c>
      <c r="P15" t="s">
        <v>247</v>
      </c>
    </row>
    <row r="16" spans="1:32" x14ac:dyDescent="0.25">
      <c r="A16" t="s">
        <v>244</v>
      </c>
      <c r="B16" t="s">
        <v>245</v>
      </c>
      <c r="C16" t="s">
        <v>264</v>
      </c>
      <c r="D16" t="s">
        <v>246</v>
      </c>
      <c r="E16" t="s">
        <v>210</v>
      </c>
      <c r="F16" t="s">
        <v>20</v>
      </c>
      <c r="G16">
        <v>200</v>
      </c>
      <c r="H16" s="5">
        <f>0.28/25.4</f>
        <v>1.1023622047244096E-2</v>
      </c>
      <c r="I16" s="5">
        <f>SRA[[#This Row],[Quantity]]*SRA[[#This Row],[Unit Price]]</f>
        <v>2.2047244094488194</v>
      </c>
      <c r="J16" t="s">
        <v>235</v>
      </c>
      <c r="K16" t="s">
        <v>235</v>
      </c>
      <c r="L16" t="s">
        <v>268</v>
      </c>
      <c r="M16" t="s">
        <v>235</v>
      </c>
      <c r="N16" t="s">
        <v>235</v>
      </c>
      <c r="O16" t="s">
        <v>235</v>
      </c>
      <c r="P16" t="s">
        <v>247</v>
      </c>
    </row>
    <row r="17" spans="1:16" x14ac:dyDescent="0.25">
      <c r="A17" t="s">
        <v>271</v>
      </c>
      <c r="B17" t="s">
        <v>266</v>
      </c>
      <c r="C17" t="s">
        <v>266</v>
      </c>
      <c r="D17" t="s">
        <v>269</v>
      </c>
      <c r="E17" t="s">
        <v>210</v>
      </c>
      <c r="F17" t="s">
        <v>20</v>
      </c>
      <c r="G17">
        <v>1</v>
      </c>
      <c r="H17" s="5">
        <v>53.5</v>
      </c>
      <c r="I17" s="5">
        <f>SRA[[#This Row],[Quantity]]*SRA[[#This Row],[Unit Price]]</f>
        <v>53.5</v>
      </c>
      <c r="J17">
        <v>141</v>
      </c>
      <c r="K17" t="s">
        <v>235</v>
      </c>
      <c r="L17" t="s">
        <v>270</v>
      </c>
    </row>
    <row r="18" spans="1:16" x14ac:dyDescent="0.25">
      <c r="A18" t="s">
        <v>254</v>
      </c>
      <c r="B18" t="s">
        <v>253</v>
      </c>
      <c r="C18" t="s">
        <v>264</v>
      </c>
      <c r="D18" t="s">
        <v>272</v>
      </c>
      <c r="E18" t="s">
        <v>255</v>
      </c>
      <c r="F18" t="s">
        <v>20</v>
      </c>
      <c r="G18">
        <v>2</v>
      </c>
      <c r="H18" s="5">
        <f>22.64*0.029</f>
        <v>0.65656000000000003</v>
      </c>
      <c r="I18" s="5">
        <f>SRA[[#This Row],[Quantity]]*SRA[[#This Row],[Unit Price]]</f>
        <v>1.3131200000000001</v>
      </c>
      <c r="J18" t="s">
        <v>235</v>
      </c>
      <c r="K18" t="s">
        <v>235</v>
      </c>
      <c r="L18" t="s">
        <v>273</v>
      </c>
      <c r="M18" t="s">
        <v>235</v>
      </c>
      <c r="N18" t="s">
        <v>235</v>
      </c>
      <c r="O18" t="s">
        <v>235</v>
      </c>
      <c r="P18" t="s">
        <v>258</v>
      </c>
    </row>
    <row r="19" spans="1:16" x14ac:dyDescent="0.25">
      <c r="A19" t="s">
        <v>254</v>
      </c>
      <c r="B19" t="s">
        <v>253</v>
      </c>
      <c r="C19" t="s">
        <v>264</v>
      </c>
      <c r="D19" t="s">
        <v>344</v>
      </c>
      <c r="E19" t="s">
        <v>255</v>
      </c>
      <c r="F19" t="s">
        <v>20</v>
      </c>
      <c r="G19">
        <v>2</v>
      </c>
      <c r="H19" s="5">
        <f>22.64*0.089</f>
        <v>2.0149599999999999</v>
      </c>
      <c r="I19" s="5">
        <f>SRA[[#This Row],[Quantity]]*SRA[[#This Row],[Unit Price]]</f>
        <v>4.0299199999999997</v>
      </c>
      <c r="J19" t="s">
        <v>235</v>
      </c>
      <c r="K19" t="s">
        <v>235</v>
      </c>
      <c r="L19" t="s">
        <v>278</v>
      </c>
      <c r="M19" t="s">
        <v>235</v>
      </c>
      <c r="N19" t="s">
        <v>235</v>
      </c>
      <c r="O19" t="s">
        <v>235</v>
      </c>
      <c r="P19" t="s">
        <v>258</v>
      </c>
    </row>
    <row r="20" spans="1:16" x14ac:dyDescent="0.25">
      <c r="A20" t="s">
        <v>275</v>
      </c>
      <c r="B20" t="s">
        <v>276</v>
      </c>
      <c r="C20" t="s">
        <v>264</v>
      </c>
      <c r="D20" t="s">
        <v>274</v>
      </c>
      <c r="E20" t="s">
        <v>210</v>
      </c>
      <c r="F20" t="s">
        <v>20</v>
      </c>
      <c r="G20">
        <v>1</v>
      </c>
      <c r="H20" s="5">
        <f>7.99/2</f>
        <v>3.9950000000000001</v>
      </c>
      <c r="I20" s="5">
        <f>SRA[[#This Row],[Quantity]]*SRA[[#This Row],[Unit Price]]</f>
        <v>3.9950000000000001</v>
      </c>
      <c r="J20" t="s">
        <v>235</v>
      </c>
      <c r="K20" t="s">
        <v>235</v>
      </c>
      <c r="L20" t="s">
        <v>277</v>
      </c>
      <c r="M20" t="s">
        <v>235</v>
      </c>
      <c r="N20" t="s">
        <v>235</v>
      </c>
      <c r="O20" t="s">
        <v>235</v>
      </c>
    </row>
    <row r="21" spans="1:16" x14ac:dyDescent="0.25">
      <c r="A21" t="s">
        <v>232</v>
      </c>
      <c r="B21" t="s">
        <v>233</v>
      </c>
      <c r="C21" t="s">
        <v>264</v>
      </c>
      <c r="D21" t="s">
        <v>234</v>
      </c>
      <c r="E21" t="s">
        <v>210</v>
      </c>
      <c r="F21" t="s">
        <v>20</v>
      </c>
      <c r="G21">
        <v>1</v>
      </c>
      <c r="H21" s="5">
        <v>1</v>
      </c>
      <c r="I21" s="5">
        <f>SRA[[#This Row],[Quantity]]*SRA[[#This Row],[Unit Price]]</f>
        <v>1</v>
      </c>
      <c r="J21" t="s">
        <v>235</v>
      </c>
      <c r="K21" t="s">
        <v>235</v>
      </c>
      <c r="L21" t="s">
        <v>236</v>
      </c>
      <c r="M21" t="s">
        <v>235</v>
      </c>
      <c r="N21" t="s">
        <v>235</v>
      </c>
      <c r="O21" t="s">
        <v>235</v>
      </c>
      <c r="P21" t="s">
        <v>282</v>
      </c>
    </row>
    <row r="22" spans="1:16" x14ac:dyDescent="0.25">
      <c r="B22" t="s">
        <v>279</v>
      </c>
      <c r="C22" t="s">
        <v>264</v>
      </c>
      <c r="D22" t="s">
        <v>280</v>
      </c>
      <c r="E22" t="s">
        <v>210</v>
      </c>
      <c r="F22" t="s">
        <v>20</v>
      </c>
      <c r="G22">
        <v>1</v>
      </c>
      <c r="H22" s="5">
        <f>12.99/195</f>
        <v>6.6615384615384618E-2</v>
      </c>
      <c r="I22" s="5">
        <f>SRA[[#This Row],[Quantity]]*SRA[[#This Row],[Unit Price]]</f>
        <v>6.6615384615384618E-2</v>
      </c>
      <c r="J22" t="s">
        <v>235</v>
      </c>
      <c r="K22" t="s">
        <v>235</v>
      </c>
      <c r="L22" t="s">
        <v>283</v>
      </c>
      <c r="M22" t="s">
        <v>235</v>
      </c>
      <c r="N22" t="s">
        <v>235</v>
      </c>
      <c r="O22" t="s">
        <v>235</v>
      </c>
      <c r="P22" t="s">
        <v>243</v>
      </c>
    </row>
    <row r="23" spans="1:16" x14ac:dyDescent="0.25">
      <c r="A23" t="s">
        <v>254</v>
      </c>
      <c r="B23" t="s">
        <v>253</v>
      </c>
      <c r="C23" t="s">
        <v>264</v>
      </c>
      <c r="D23" t="s">
        <v>284</v>
      </c>
      <c r="E23" t="s">
        <v>255</v>
      </c>
      <c r="F23" t="s">
        <v>20</v>
      </c>
      <c r="G23">
        <v>1</v>
      </c>
      <c r="H23" s="5">
        <f>22.64*0.001</f>
        <v>2.264E-2</v>
      </c>
      <c r="I23" s="5">
        <f>SRA[[#This Row],[Quantity]]*SRA[[#This Row],[Unit Price]]</f>
        <v>2.264E-2</v>
      </c>
      <c r="J23" t="s">
        <v>235</v>
      </c>
      <c r="K23" t="s">
        <v>235</v>
      </c>
      <c r="L23" t="s">
        <v>285</v>
      </c>
      <c r="M23" t="s">
        <v>235</v>
      </c>
      <c r="N23" t="s">
        <v>235</v>
      </c>
      <c r="O23" t="s">
        <v>235</v>
      </c>
      <c r="P23" t="s">
        <v>258</v>
      </c>
    </row>
    <row r="24" spans="1:16" x14ac:dyDescent="0.25">
      <c r="A24" t="s">
        <v>318</v>
      </c>
      <c r="B24" t="s">
        <v>317</v>
      </c>
      <c r="C24" s="31" t="s">
        <v>264</v>
      </c>
      <c r="D24" t="s">
        <v>286</v>
      </c>
      <c r="E24" t="s">
        <v>255</v>
      </c>
      <c r="F24" t="s">
        <v>20</v>
      </c>
      <c r="G24">
        <f>ROUND(Overall!L6*1000*1.15,1)</f>
        <v>1725</v>
      </c>
      <c r="H24" s="5">
        <f>10.99/5000</f>
        <v>2.1979999999999999E-3</v>
      </c>
      <c r="I24" s="30">
        <f>SRA[[#This Row],[Quantity]]*SRA[[#This Row],[Unit Price]]</f>
        <v>3.79155</v>
      </c>
      <c r="J24" t="s">
        <v>235</v>
      </c>
      <c r="K24" t="s">
        <v>235</v>
      </c>
      <c r="L24" t="s">
        <v>287</v>
      </c>
      <c r="M24" t="s">
        <v>235</v>
      </c>
      <c r="N24" t="s">
        <v>235</v>
      </c>
      <c r="O24" t="s">
        <v>235</v>
      </c>
      <c r="P24" t="s">
        <v>288</v>
      </c>
    </row>
    <row r="25" spans="1:16" x14ac:dyDescent="0.25">
      <c r="A25" t="s">
        <v>254</v>
      </c>
      <c r="B25" t="s">
        <v>253</v>
      </c>
      <c r="C25" t="s">
        <v>264</v>
      </c>
      <c r="D25" t="s">
        <v>284</v>
      </c>
      <c r="E25" t="s">
        <v>255</v>
      </c>
      <c r="F25" t="s">
        <v>20</v>
      </c>
      <c r="G25">
        <v>1</v>
      </c>
      <c r="H25" s="5">
        <f>22.64*0.003</f>
        <v>6.7920000000000008E-2</v>
      </c>
      <c r="I25" s="30">
        <f>SRA[[#This Row],[Quantity]]*SRA[[#This Row],[Unit Price]]</f>
        <v>6.7920000000000008E-2</v>
      </c>
      <c r="J25" t="s">
        <v>235</v>
      </c>
      <c r="K25" t="s">
        <v>235</v>
      </c>
      <c r="L25" t="s">
        <v>289</v>
      </c>
      <c r="M25" t="s">
        <v>235</v>
      </c>
      <c r="N25" t="s">
        <v>235</v>
      </c>
      <c r="O25" t="s">
        <v>235</v>
      </c>
      <c r="P25" t="s">
        <v>258</v>
      </c>
    </row>
    <row r="26" spans="1:16" x14ac:dyDescent="0.25">
      <c r="B26" t="s">
        <v>250</v>
      </c>
      <c r="C26" t="s">
        <v>264</v>
      </c>
      <c r="D26" t="s">
        <v>281</v>
      </c>
      <c r="E26" t="s">
        <v>241</v>
      </c>
      <c r="F26" t="s">
        <v>20</v>
      </c>
      <c r="G26">
        <v>32</v>
      </c>
      <c r="H26">
        <f>9.49/100</f>
        <v>9.4899999999999998E-2</v>
      </c>
      <c r="I26" s="30">
        <f>SRA[[#This Row],[Quantity]]*SRA[[#This Row],[Unit Price]]</f>
        <v>3.0367999999999999</v>
      </c>
      <c r="J26" t="s">
        <v>235</v>
      </c>
      <c r="K26" t="s">
        <v>235</v>
      </c>
      <c r="L26" t="s">
        <v>249</v>
      </c>
      <c r="M26" t="s">
        <v>235</v>
      </c>
      <c r="N26" t="s">
        <v>235</v>
      </c>
      <c r="O26" t="s">
        <v>235</v>
      </c>
      <c r="P26" t="s">
        <v>243</v>
      </c>
    </row>
    <row r="27" spans="1:16" x14ac:dyDescent="0.25">
      <c r="A27" t="s">
        <v>251</v>
      </c>
      <c r="B27" t="s">
        <v>252</v>
      </c>
      <c r="C27" t="s">
        <v>264</v>
      </c>
      <c r="D27" t="s">
        <v>240</v>
      </c>
      <c r="E27" t="s">
        <v>241</v>
      </c>
      <c r="F27" t="s">
        <v>20</v>
      </c>
      <c r="G27">
        <v>32</v>
      </c>
      <c r="H27">
        <f>(16.68/100)</f>
        <v>0.1668</v>
      </c>
      <c r="I27" s="30">
        <f>SRA[[#This Row],[Quantity]]*SRA[[#This Row],[Unit Price]]</f>
        <v>5.3376000000000001</v>
      </c>
      <c r="J27" t="s">
        <v>235</v>
      </c>
      <c r="K27" t="s">
        <v>235</v>
      </c>
      <c r="L27" t="s">
        <v>242</v>
      </c>
      <c r="M27" t="s">
        <v>235</v>
      </c>
      <c r="N27" t="s">
        <v>235</v>
      </c>
      <c r="O27" t="s">
        <v>235</v>
      </c>
      <c r="P27" t="s">
        <v>243</v>
      </c>
    </row>
    <row r="28" spans="1:16" x14ac:dyDescent="0.25">
      <c r="H28" s="5"/>
      <c r="I28" s="30">
        <f>SRA[[#This Row],[Quantity]]*SRA[[#This Row],[Unit Price]]</f>
        <v>0</v>
      </c>
    </row>
    <row r="29" spans="1:16" x14ac:dyDescent="0.25">
      <c r="H29" s="5"/>
      <c r="I29" s="30"/>
    </row>
    <row r="30" spans="1:16" ht="27.75" customHeight="1" x14ac:dyDescent="0.45">
      <c r="A30" s="49" t="s">
        <v>205</v>
      </c>
      <c r="B30" s="49"/>
      <c r="C30" s="49"/>
      <c r="D30" s="49"/>
      <c r="E30" s="49"/>
      <c r="F30" s="49"/>
      <c r="G30" s="49"/>
      <c r="H30" s="49"/>
      <c r="I30" s="5">
        <f>SUM(SRA[Extended Price])</f>
        <v>126.62215625075713</v>
      </c>
    </row>
    <row r="32" spans="1:16" ht="36" x14ac:dyDescent="0.55000000000000004">
      <c r="A32" s="56" t="s">
        <v>290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</row>
    <row r="33" spans="1:16" x14ac:dyDescent="0.25">
      <c r="A33" s="23" t="s">
        <v>0</v>
      </c>
      <c r="B33" s="24" t="s">
        <v>1</v>
      </c>
      <c r="C33" s="24" t="s">
        <v>263</v>
      </c>
      <c r="D33" s="24" t="s">
        <v>3</v>
      </c>
      <c r="E33" s="24" t="s">
        <v>4</v>
      </c>
      <c r="F33" s="24" t="s">
        <v>5</v>
      </c>
      <c r="G33" s="24" t="s">
        <v>6</v>
      </c>
      <c r="H33" s="24" t="s">
        <v>7</v>
      </c>
      <c r="I33" s="25" t="s">
        <v>8</v>
      </c>
      <c r="J33" s="24" t="s">
        <v>9</v>
      </c>
      <c r="K33" s="24" t="s">
        <v>10</v>
      </c>
      <c r="L33" s="24" t="s">
        <v>11</v>
      </c>
      <c r="M33" s="24" t="s">
        <v>12</v>
      </c>
      <c r="N33" s="24" t="s">
        <v>13</v>
      </c>
      <c r="O33" s="26" t="s">
        <v>14</v>
      </c>
      <c r="P33" s="26" t="s">
        <v>238</v>
      </c>
    </row>
    <row r="34" spans="1:16" x14ac:dyDescent="0.25">
      <c r="A34" t="s">
        <v>235</v>
      </c>
      <c r="B34" t="s">
        <v>235</v>
      </c>
      <c r="C34" t="s">
        <v>265</v>
      </c>
      <c r="D34" t="s">
        <v>237</v>
      </c>
      <c r="G34">
        <v>2</v>
      </c>
      <c r="H34" s="5">
        <v>4.2699999999999996</v>
      </c>
      <c r="I34" s="33">
        <f>TCA[[#This Row],[Quantity]]*TCA[[#This Row],[Unit Price]]</f>
        <v>8.5399999999999991</v>
      </c>
      <c r="J34" t="s">
        <v>235</v>
      </c>
      <c r="K34" t="s">
        <v>235</v>
      </c>
      <c r="L34" t="s">
        <v>259</v>
      </c>
      <c r="M34" t="s">
        <v>235</v>
      </c>
      <c r="N34" t="s">
        <v>235</v>
      </c>
      <c r="O34" t="s">
        <v>235</v>
      </c>
      <c r="P34" t="s">
        <v>260</v>
      </c>
    </row>
    <row r="35" spans="1:16" x14ac:dyDescent="0.25">
      <c r="A35" s="31" t="s">
        <v>291</v>
      </c>
      <c r="B35" s="31" t="s">
        <v>245</v>
      </c>
      <c r="C35" s="31" t="s">
        <v>264</v>
      </c>
      <c r="D35" s="31" t="s">
        <v>292</v>
      </c>
      <c r="E35" s="31" t="s">
        <v>210</v>
      </c>
      <c r="F35" s="31" t="s">
        <v>20</v>
      </c>
      <c r="G35" s="31">
        <v>300</v>
      </c>
      <c r="H35" s="32">
        <f t="shared" ref="H35" si="0">0.16/25.4</f>
        <v>6.2992125984251976E-3</v>
      </c>
      <c r="I35" s="33">
        <f>TCA[[#This Row],[Quantity]]*TCA[[#This Row],[Unit Price]]</f>
        <v>1.8897637795275593</v>
      </c>
      <c r="J35" t="s">
        <v>235</v>
      </c>
      <c r="K35" t="s">
        <v>235</v>
      </c>
      <c r="L35" t="s">
        <v>293</v>
      </c>
      <c r="M35" t="s">
        <v>235</v>
      </c>
      <c r="N35" t="s">
        <v>235</v>
      </c>
      <c r="O35" t="s">
        <v>235</v>
      </c>
      <c r="P35" t="s">
        <v>247</v>
      </c>
    </row>
    <row r="36" spans="1:16" x14ac:dyDescent="0.25">
      <c r="A36" t="s">
        <v>295</v>
      </c>
      <c r="B36" s="31" t="s">
        <v>266</v>
      </c>
      <c r="C36" s="31" t="s">
        <v>266</v>
      </c>
      <c r="D36" s="31" t="s">
        <v>294</v>
      </c>
      <c r="E36" s="31" t="s">
        <v>210</v>
      </c>
      <c r="F36" s="31" t="s">
        <v>20</v>
      </c>
      <c r="G36" s="31">
        <v>1</v>
      </c>
      <c r="H36" s="34">
        <v>7.05</v>
      </c>
      <c r="I36" s="34">
        <f>TCA[[#This Row],[Quantity]]*TCA[[#This Row],[Unit Price]]</f>
        <v>7.05</v>
      </c>
      <c r="J36" s="31">
        <v>182</v>
      </c>
      <c r="K36" s="31" t="s">
        <v>235</v>
      </c>
      <c r="L36" t="s">
        <v>296</v>
      </c>
      <c r="M36" t="s">
        <v>235</v>
      </c>
      <c r="N36" t="s">
        <v>235</v>
      </c>
      <c r="O36" t="s">
        <v>235</v>
      </c>
      <c r="P36" s="31"/>
    </row>
    <row r="37" spans="1:16" x14ac:dyDescent="0.25">
      <c r="A37" t="s">
        <v>299</v>
      </c>
      <c r="B37" s="31" t="s">
        <v>266</v>
      </c>
      <c r="C37" s="31" t="s">
        <v>266</v>
      </c>
      <c r="D37" s="31" t="s">
        <v>298</v>
      </c>
      <c r="E37" s="31" t="s">
        <v>210</v>
      </c>
      <c r="F37" s="31" t="s">
        <v>20</v>
      </c>
      <c r="G37" s="31">
        <v>1</v>
      </c>
      <c r="H37" s="34">
        <v>1.47</v>
      </c>
      <c r="I37" s="33">
        <f>TCA[[#This Row],[Quantity]]*TCA[[#This Row],[Unit Price]]</f>
        <v>1.47</v>
      </c>
      <c r="J37">
        <v>49816</v>
      </c>
      <c r="K37" t="s">
        <v>235</v>
      </c>
      <c r="L37" t="s">
        <v>297</v>
      </c>
      <c r="M37" t="s">
        <v>235</v>
      </c>
      <c r="N37" t="s">
        <v>235</v>
      </c>
      <c r="O37" t="s">
        <v>235</v>
      </c>
    </row>
    <row r="38" spans="1:16" x14ac:dyDescent="0.25">
      <c r="A38" t="s">
        <v>304</v>
      </c>
      <c r="B38" s="31" t="s">
        <v>301</v>
      </c>
      <c r="C38" s="31" t="s">
        <v>264</v>
      </c>
      <c r="D38" s="31" t="s">
        <v>300</v>
      </c>
      <c r="E38" s="31" t="s">
        <v>210</v>
      </c>
      <c r="F38" s="31" t="s">
        <v>20</v>
      </c>
      <c r="G38" s="31">
        <v>1</v>
      </c>
      <c r="H38" s="34">
        <f>11.88/5</f>
        <v>2.3760000000000003</v>
      </c>
      <c r="I38" s="33">
        <f>TCA[[#This Row],[Quantity]]*TCA[[#This Row],[Unit Price]]</f>
        <v>2.3760000000000003</v>
      </c>
      <c r="J38" s="31" t="s">
        <v>235</v>
      </c>
      <c r="K38" t="s">
        <v>235</v>
      </c>
      <c r="L38" s="31" t="s">
        <v>303</v>
      </c>
      <c r="M38" t="s">
        <v>235</v>
      </c>
      <c r="N38" t="s">
        <v>235</v>
      </c>
      <c r="O38" t="s">
        <v>235</v>
      </c>
      <c r="P38" s="31" t="s">
        <v>302</v>
      </c>
    </row>
    <row r="39" spans="1:16" x14ac:dyDescent="0.25">
      <c r="A39" s="31" t="s">
        <v>254</v>
      </c>
      <c r="B39" s="31" t="s">
        <v>253</v>
      </c>
      <c r="C39" s="31" t="s">
        <v>264</v>
      </c>
      <c r="D39" s="31" t="s">
        <v>305</v>
      </c>
      <c r="E39" s="31" t="s">
        <v>255</v>
      </c>
      <c r="F39" s="31" t="s">
        <v>20</v>
      </c>
      <c r="G39" s="31">
        <v>2</v>
      </c>
      <c r="H39" s="34">
        <f>22.64*0.002</f>
        <v>4.5280000000000001E-2</v>
      </c>
      <c r="I39" s="33">
        <f>TCA[[#This Row],[Quantity]]*TCA[[#This Row],[Unit Price]]</f>
        <v>9.0560000000000002E-2</v>
      </c>
      <c r="J39" t="s">
        <v>235</v>
      </c>
      <c r="K39" t="s">
        <v>235</v>
      </c>
      <c r="L39" t="s">
        <v>306</v>
      </c>
      <c r="M39" t="s">
        <v>235</v>
      </c>
      <c r="N39" t="s">
        <v>235</v>
      </c>
      <c r="O39" t="s">
        <v>235</v>
      </c>
      <c r="P39" t="s">
        <v>258</v>
      </c>
    </row>
    <row r="40" spans="1:16" x14ac:dyDescent="0.25">
      <c r="A40" t="s">
        <v>309</v>
      </c>
      <c r="B40" s="31" t="s">
        <v>308</v>
      </c>
      <c r="C40" s="31" t="s">
        <v>264</v>
      </c>
      <c r="D40" s="31" t="s">
        <v>307</v>
      </c>
      <c r="E40" s="31" t="s">
        <v>241</v>
      </c>
      <c r="F40" s="31" t="s">
        <v>20</v>
      </c>
      <c r="G40" s="31">
        <v>2</v>
      </c>
      <c r="H40" s="34">
        <f>9.99/20</f>
        <v>0.4995</v>
      </c>
      <c r="I40" s="33">
        <f>TCA[[#This Row],[Quantity]]*TCA[[#This Row],[Unit Price]]</f>
        <v>0.999</v>
      </c>
      <c r="J40" s="31" t="s">
        <v>235</v>
      </c>
      <c r="K40" s="31" t="s">
        <v>235</v>
      </c>
      <c r="L40" s="31" t="s">
        <v>310</v>
      </c>
      <c r="M40" t="s">
        <v>235</v>
      </c>
      <c r="N40" t="s">
        <v>235</v>
      </c>
      <c r="O40" t="s">
        <v>235</v>
      </c>
      <c r="P40" s="31" t="s">
        <v>311</v>
      </c>
    </row>
    <row r="41" spans="1:16" x14ac:dyDescent="0.25">
      <c r="A41" s="31" t="s">
        <v>254</v>
      </c>
      <c r="B41" s="31" t="s">
        <v>253</v>
      </c>
      <c r="C41" s="31" t="s">
        <v>264</v>
      </c>
      <c r="D41" s="31" t="s">
        <v>313</v>
      </c>
      <c r="E41" s="31" t="s">
        <v>255</v>
      </c>
      <c r="F41" s="31" t="s">
        <v>20</v>
      </c>
      <c r="G41" s="31">
        <v>4</v>
      </c>
      <c r="H41" s="34">
        <f>22.64*0.001</f>
        <v>2.264E-2</v>
      </c>
      <c r="I41" s="33">
        <f>TCA[[#This Row],[Quantity]]*TCA[[#This Row],[Unit Price]]</f>
        <v>9.0560000000000002E-2</v>
      </c>
      <c r="J41" t="s">
        <v>235</v>
      </c>
      <c r="K41" t="s">
        <v>235</v>
      </c>
      <c r="L41" t="s">
        <v>312</v>
      </c>
      <c r="M41" t="s">
        <v>235</v>
      </c>
      <c r="N41" t="s">
        <v>235</v>
      </c>
      <c r="O41" t="s">
        <v>235</v>
      </c>
      <c r="P41" t="s">
        <v>258</v>
      </c>
    </row>
    <row r="42" spans="1:16" x14ac:dyDescent="0.25">
      <c r="A42" s="31"/>
      <c r="B42" t="s">
        <v>314</v>
      </c>
      <c r="C42" s="31" t="s">
        <v>264</v>
      </c>
      <c r="D42" s="31" t="s">
        <v>316</v>
      </c>
      <c r="E42" s="31" t="s">
        <v>210</v>
      </c>
      <c r="F42" s="31" t="s">
        <v>20</v>
      </c>
      <c r="G42" s="31">
        <v>2</v>
      </c>
      <c r="H42" s="34">
        <f>10.98/100</f>
        <v>0.10980000000000001</v>
      </c>
      <c r="I42" s="33">
        <f>TCA[[#This Row],[Quantity]]*TCA[[#This Row],[Unit Price]]</f>
        <v>0.21960000000000002</v>
      </c>
      <c r="J42" t="s">
        <v>235</v>
      </c>
      <c r="K42" t="s">
        <v>235</v>
      </c>
      <c r="L42" t="s">
        <v>315</v>
      </c>
      <c r="M42" t="s">
        <v>235</v>
      </c>
      <c r="N42" t="s">
        <v>235</v>
      </c>
      <c r="O42" t="s">
        <v>235</v>
      </c>
      <c r="P42" t="s">
        <v>243</v>
      </c>
    </row>
    <row r="43" spans="1:16" x14ac:dyDescent="0.25">
      <c r="A43" s="31" t="s">
        <v>251</v>
      </c>
      <c r="B43" s="31" t="s">
        <v>252</v>
      </c>
      <c r="C43" s="31" t="s">
        <v>264</v>
      </c>
      <c r="D43" s="31" t="s">
        <v>240</v>
      </c>
      <c r="E43" s="31" t="s">
        <v>241</v>
      </c>
      <c r="F43" s="31" t="s">
        <v>20</v>
      </c>
      <c r="G43" s="31">
        <v>2</v>
      </c>
      <c r="H43" s="34">
        <v>0.1668</v>
      </c>
      <c r="I43" s="33">
        <f>TCA[[#This Row],[Quantity]]*TCA[[#This Row],[Unit Price]]</f>
        <v>0.33360000000000001</v>
      </c>
      <c r="J43" t="s">
        <v>235</v>
      </c>
      <c r="K43" t="s">
        <v>235</v>
      </c>
      <c r="L43" t="s">
        <v>242</v>
      </c>
      <c r="M43" t="s">
        <v>235</v>
      </c>
      <c r="N43" t="s">
        <v>235</v>
      </c>
      <c r="O43" t="s">
        <v>235</v>
      </c>
      <c r="P43" t="s">
        <v>243</v>
      </c>
    </row>
    <row r="44" spans="1:16" x14ac:dyDescent="0.25">
      <c r="A44" s="31"/>
      <c r="B44" s="31" t="s">
        <v>250</v>
      </c>
      <c r="C44" s="31" t="s">
        <v>264</v>
      </c>
      <c r="D44" s="31" t="s">
        <v>281</v>
      </c>
      <c r="E44" s="31" t="s">
        <v>241</v>
      </c>
      <c r="F44" s="31" t="s">
        <v>20</v>
      </c>
      <c r="G44" s="31">
        <v>2</v>
      </c>
      <c r="H44" s="34">
        <v>9.4899999999999998E-2</v>
      </c>
      <c r="I44" s="33">
        <f>TCA[[#This Row],[Quantity]]*TCA[[#This Row],[Unit Price]]</f>
        <v>0.1898</v>
      </c>
      <c r="J44" t="s">
        <v>235</v>
      </c>
      <c r="K44" t="s">
        <v>235</v>
      </c>
      <c r="L44" t="s">
        <v>249</v>
      </c>
      <c r="M44" t="s">
        <v>235</v>
      </c>
      <c r="N44" t="s">
        <v>235</v>
      </c>
      <c r="O44" t="s">
        <v>235</v>
      </c>
      <c r="P44" t="s">
        <v>243</v>
      </c>
    </row>
    <row r="45" spans="1:16" x14ac:dyDescent="0.25">
      <c r="A45" t="s">
        <v>318</v>
      </c>
      <c r="B45" s="31" t="s">
        <v>317</v>
      </c>
      <c r="C45" s="31" t="s">
        <v>264</v>
      </c>
      <c r="D45" s="31" t="s">
        <v>286</v>
      </c>
      <c r="E45" s="31" t="s">
        <v>255</v>
      </c>
      <c r="F45" s="31" t="s">
        <v>20</v>
      </c>
      <c r="G45" s="31">
        <f>ROUND(Overall!L7*1000*1.15,1)</f>
        <v>2300</v>
      </c>
      <c r="H45" s="34">
        <f>10.99/5000</f>
        <v>2.1979999999999999E-3</v>
      </c>
      <c r="I45" s="33">
        <f>TCA[[#This Row],[Quantity]]*TCA[[#This Row],[Unit Price]]</f>
        <v>5.0553999999999997</v>
      </c>
      <c r="J45" t="s">
        <v>235</v>
      </c>
      <c r="K45" t="s">
        <v>235</v>
      </c>
      <c r="L45" t="s">
        <v>287</v>
      </c>
      <c r="M45" t="s">
        <v>235</v>
      </c>
      <c r="N45" t="s">
        <v>235</v>
      </c>
      <c r="O45" t="s">
        <v>235</v>
      </c>
      <c r="P45" t="s">
        <v>288</v>
      </c>
    </row>
    <row r="46" spans="1:16" x14ac:dyDescent="0.25">
      <c r="A46" s="31" t="s">
        <v>244</v>
      </c>
      <c r="B46" s="31" t="s">
        <v>245</v>
      </c>
      <c r="C46" s="31" t="s">
        <v>245</v>
      </c>
      <c r="D46" s="31" t="s">
        <v>340</v>
      </c>
      <c r="E46" s="31" t="s">
        <v>210</v>
      </c>
      <c r="F46" s="31" t="s">
        <v>20</v>
      </c>
      <c r="G46" s="31">
        <f>Overall!L7*1000</f>
        <v>2000</v>
      </c>
      <c r="H46" s="34">
        <f>0.28/25.4</f>
        <v>1.1023622047244096E-2</v>
      </c>
      <c r="I46" s="33">
        <f>TCA[[#This Row],[Quantity]]*TCA[[#This Row],[Unit Price]]</f>
        <v>22.047244094488192</v>
      </c>
      <c r="J46" t="s">
        <v>235</v>
      </c>
      <c r="K46" t="s">
        <v>235</v>
      </c>
      <c r="L46" t="s">
        <v>324</v>
      </c>
      <c r="M46" t="s">
        <v>235</v>
      </c>
      <c r="N46" t="s">
        <v>235</v>
      </c>
      <c r="O46" t="s">
        <v>235</v>
      </c>
      <c r="P46" t="s">
        <v>247</v>
      </c>
    </row>
    <row r="47" spans="1:16" ht="27.75" customHeight="1" x14ac:dyDescent="0.45">
      <c r="A47" s="49" t="s">
        <v>205</v>
      </c>
      <c r="B47" s="49"/>
      <c r="C47" s="49"/>
      <c r="D47" s="49"/>
      <c r="E47" s="49"/>
      <c r="F47" s="49"/>
      <c r="G47" s="49"/>
      <c r="H47" s="49"/>
      <c r="I47" s="5">
        <f>SUM(TCA[Extended Price])</f>
        <v>50.351527874015751</v>
      </c>
    </row>
    <row r="49" spans="1:16" ht="36" x14ac:dyDescent="0.55000000000000004">
      <c r="A49" s="53" t="s">
        <v>325</v>
      </c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</row>
    <row r="50" spans="1:16" x14ac:dyDescent="0.25">
      <c r="A50" s="23" t="s">
        <v>0</v>
      </c>
      <c r="B50" s="24" t="s">
        <v>1</v>
      </c>
      <c r="C50" s="24" t="s">
        <v>263</v>
      </c>
      <c r="D50" s="24" t="s">
        <v>3</v>
      </c>
      <c r="E50" s="24" t="s">
        <v>4</v>
      </c>
      <c r="F50" s="24" t="s">
        <v>5</v>
      </c>
      <c r="G50" s="24" t="s">
        <v>6</v>
      </c>
      <c r="H50" s="24" t="s">
        <v>7</v>
      </c>
      <c r="I50" s="25" t="s">
        <v>8</v>
      </c>
      <c r="J50" s="24" t="s">
        <v>9</v>
      </c>
      <c r="K50" s="24" t="s">
        <v>10</v>
      </c>
      <c r="L50" s="24" t="s">
        <v>11</v>
      </c>
      <c r="M50" s="24" t="s">
        <v>12</v>
      </c>
      <c r="N50" s="24" t="s">
        <v>13</v>
      </c>
      <c r="O50" s="26" t="s">
        <v>14</v>
      </c>
      <c r="P50" s="26" t="s">
        <v>238</v>
      </c>
    </row>
    <row r="51" spans="1:16" x14ac:dyDescent="0.25">
      <c r="A51" s="31" t="s">
        <v>254</v>
      </c>
      <c r="B51" s="31" t="s">
        <v>253</v>
      </c>
      <c r="C51" s="31" t="s">
        <v>264</v>
      </c>
      <c r="D51" s="31" t="s">
        <v>332</v>
      </c>
      <c r="E51" s="31" t="s">
        <v>255</v>
      </c>
      <c r="F51" s="31" t="s">
        <v>20</v>
      </c>
      <c r="G51" s="31">
        <v>4</v>
      </c>
      <c r="H51" s="34">
        <f>22.64*0.044</f>
        <v>0.99615999999999993</v>
      </c>
      <c r="I51" s="5">
        <f>MMM[[#This Row],[Unit Price]]*MMM[[#This Row],[Quantity]]</f>
        <v>3.9846399999999997</v>
      </c>
      <c r="J51" t="s">
        <v>235</v>
      </c>
      <c r="K51" t="s">
        <v>235</v>
      </c>
      <c r="L51" t="s">
        <v>326</v>
      </c>
      <c r="M51" t="s">
        <v>235</v>
      </c>
      <c r="N51" t="s">
        <v>235</v>
      </c>
      <c r="O51" t="s">
        <v>235</v>
      </c>
      <c r="P51" t="s">
        <v>258</v>
      </c>
    </row>
    <row r="52" spans="1:16" x14ac:dyDescent="0.25">
      <c r="A52" s="31" t="s">
        <v>254</v>
      </c>
      <c r="B52" s="31" t="s">
        <v>253</v>
      </c>
      <c r="C52" s="31" t="s">
        <v>264</v>
      </c>
      <c r="D52" s="31" t="s">
        <v>327</v>
      </c>
      <c r="E52" s="31" t="s">
        <v>255</v>
      </c>
      <c r="F52" s="31" t="s">
        <v>20</v>
      </c>
      <c r="G52" s="31">
        <v>6</v>
      </c>
      <c r="H52" s="34">
        <f>22.64*0.005</f>
        <v>0.11320000000000001</v>
      </c>
      <c r="I52" s="5">
        <f>MMM[[#This Row],[Unit Price]]*MMM[[#This Row],[Quantity]]</f>
        <v>0.67920000000000003</v>
      </c>
      <c r="J52" t="s">
        <v>235</v>
      </c>
      <c r="K52" t="s">
        <v>235</v>
      </c>
      <c r="L52" t="s">
        <v>328</v>
      </c>
      <c r="M52" t="s">
        <v>235</v>
      </c>
      <c r="N52" t="s">
        <v>235</v>
      </c>
      <c r="O52" t="s">
        <v>235</v>
      </c>
      <c r="P52" t="s">
        <v>258</v>
      </c>
    </row>
    <row r="53" spans="1:16" x14ac:dyDescent="0.25">
      <c r="A53" s="31" t="s">
        <v>291</v>
      </c>
      <c r="B53" s="31" t="s">
        <v>245</v>
      </c>
      <c r="C53" s="31" t="s">
        <v>264</v>
      </c>
      <c r="D53" s="31" t="s">
        <v>292</v>
      </c>
      <c r="E53" s="31" t="s">
        <v>210</v>
      </c>
      <c r="F53" s="31" t="s">
        <v>20</v>
      </c>
      <c r="G53" s="31">
        <f>Overall!L7*1000*2</f>
        <v>4000</v>
      </c>
      <c r="H53" s="34">
        <f t="shared" ref="H53" si="1">0.16/25.4</f>
        <v>6.2992125984251976E-3</v>
      </c>
      <c r="I53" s="5">
        <f>MMM[[#This Row],[Unit Price]]*MMM[[#This Row],[Quantity]]</f>
        <v>25.196850393700789</v>
      </c>
      <c r="J53" t="s">
        <v>235</v>
      </c>
      <c r="K53" t="s">
        <v>235</v>
      </c>
      <c r="L53" t="s">
        <v>329</v>
      </c>
      <c r="M53" t="s">
        <v>235</v>
      </c>
      <c r="N53" t="s">
        <v>235</v>
      </c>
      <c r="O53" t="s">
        <v>235</v>
      </c>
      <c r="P53" t="s">
        <v>247</v>
      </c>
    </row>
    <row r="54" spans="1:16" x14ac:dyDescent="0.25">
      <c r="A54" s="31" t="s">
        <v>254</v>
      </c>
      <c r="B54" s="31" t="s">
        <v>253</v>
      </c>
      <c r="C54" s="31" t="s">
        <v>264</v>
      </c>
      <c r="D54" s="31" t="s">
        <v>331</v>
      </c>
      <c r="E54" s="31" t="s">
        <v>255</v>
      </c>
      <c r="F54" s="31" t="s">
        <v>20</v>
      </c>
      <c r="G54" s="31">
        <v>4</v>
      </c>
      <c r="H54" s="34">
        <f>22.64*0.015</f>
        <v>0.33960000000000001</v>
      </c>
      <c r="I54" s="5">
        <f>MMM[[#This Row],[Unit Price]]*MMM[[#This Row],[Quantity]]</f>
        <v>1.3584000000000001</v>
      </c>
      <c r="J54" t="s">
        <v>235</v>
      </c>
      <c r="K54" t="s">
        <v>235</v>
      </c>
      <c r="L54" t="s">
        <v>330</v>
      </c>
      <c r="M54" t="s">
        <v>235</v>
      </c>
      <c r="N54" t="s">
        <v>235</v>
      </c>
      <c r="O54" t="s">
        <v>235</v>
      </c>
      <c r="P54" t="s">
        <v>258</v>
      </c>
    </row>
    <row r="55" spans="1:16" x14ac:dyDescent="0.25">
      <c r="A55" t="s">
        <v>254</v>
      </c>
      <c r="B55" t="s">
        <v>253</v>
      </c>
      <c r="C55" t="s">
        <v>264</v>
      </c>
      <c r="D55" t="s">
        <v>272</v>
      </c>
      <c r="E55" t="s">
        <v>255</v>
      </c>
      <c r="F55" t="s">
        <v>20</v>
      </c>
      <c r="G55">
        <v>2</v>
      </c>
      <c r="H55" s="5">
        <f>22.64*0.029</f>
        <v>0.65656000000000003</v>
      </c>
      <c r="I55" s="5">
        <f>H55*G55</f>
        <v>1.3131200000000001</v>
      </c>
      <c r="J55" t="s">
        <v>235</v>
      </c>
      <c r="K55" t="s">
        <v>235</v>
      </c>
      <c r="L55" t="s">
        <v>273</v>
      </c>
      <c r="M55" t="s">
        <v>235</v>
      </c>
      <c r="N55" t="s">
        <v>235</v>
      </c>
      <c r="O55" t="s">
        <v>235</v>
      </c>
      <c r="P55" t="s">
        <v>258</v>
      </c>
    </row>
    <row r="56" spans="1:16" x14ac:dyDescent="0.25">
      <c r="A56" s="28" t="s">
        <v>251</v>
      </c>
      <c r="B56" s="27" t="s">
        <v>252</v>
      </c>
      <c r="C56" s="27" t="s">
        <v>264</v>
      </c>
      <c r="D56" s="27" t="s">
        <v>240</v>
      </c>
      <c r="E56" s="27" t="s">
        <v>241</v>
      </c>
      <c r="F56" s="27" t="s">
        <v>20</v>
      </c>
      <c r="G56" s="27">
        <v>28</v>
      </c>
      <c r="H56" s="27">
        <f>(16.68/100)</f>
        <v>0.1668</v>
      </c>
      <c r="I56" s="5">
        <f>H56*G56</f>
        <v>4.6703999999999999</v>
      </c>
      <c r="J56" s="27" t="s">
        <v>235</v>
      </c>
      <c r="K56" s="27" t="s">
        <v>235</v>
      </c>
      <c r="L56" s="27" t="s">
        <v>242</v>
      </c>
      <c r="M56" s="27" t="s">
        <v>235</v>
      </c>
      <c r="N56" s="27" t="s">
        <v>235</v>
      </c>
      <c r="O56" s="27" t="s">
        <v>235</v>
      </c>
      <c r="P56" s="29" t="s">
        <v>243</v>
      </c>
    </row>
    <row r="57" spans="1:16" x14ac:dyDescent="0.25">
      <c r="A57" s="28"/>
      <c r="B57" s="27" t="s">
        <v>250</v>
      </c>
      <c r="C57" s="27" t="s">
        <v>264</v>
      </c>
      <c r="D57" s="27" t="s">
        <v>281</v>
      </c>
      <c r="E57" s="27" t="s">
        <v>241</v>
      </c>
      <c r="F57" s="27" t="s">
        <v>20</v>
      </c>
      <c r="G57" s="27">
        <v>28</v>
      </c>
      <c r="H57" s="27">
        <f>9.49/100</f>
        <v>9.4899999999999998E-2</v>
      </c>
      <c r="I57" s="5">
        <f>H57*G57</f>
        <v>2.6572</v>
      </c>
      <c r="J57" s="27" t="s">
        <v>235</v>
      </c>
      <c r="K57" s="27" t="s">
        <v>235</v>
      </c>
      <c r="L57" s="27" t="s">
        <v>249</v>
      </c>
      <c r="M57" s="27" t="s">
        <v>235</v>
      </c>
      <c r="N57" s="27" t="s">
        <v>235</v>
      </c>
      <c r="O57" s="27" t="s">
        <v>235</v>
      </c>
      <c r="P57" s="29" t="s">
        <v>243</v>
      </c>
    </row>
    <row r="58" spans="1:16" ht="27.75" customHeight="1" x14ac:dyDescent="0.45">
      <c r="A58" s="49" t="s">
        <v>205</v>
      </c>
      <c r="B58" s="49"/>
      <c r="C58" s="49"/>
      <c r="D58" s="49"/>
      <c r="E58" s="49"/>
      <c r="F58" s="49"/>
      <c r="G58" s="49"/>
      <c r="H58" s="49"/>
      <c r="I58" s="5">
        <f>SUM(MMM[Extended Price])</f>
        <v>31.219090393700789</v>
      </c>
    </row>
    <row r="60" spans="1:16" ht="36" x14ac:dyDescent="0.55000000000000004">
      <c r="A60" s="54" t="s">
        <v>337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</row>
    <row r="61" spans="1:16" x14ac:dyDescent="0.25">
      <c r="A61" s="23" t="s">
        <v>0</v>
      </c>
      <c r="B61" s="24" t="s">
        <v>1</v>
      </c>
      <c r="C61" s="24" t="s">
        <v>263</v>
      </c>
      <c r="D61" s="24" t="s">
        <v>3</v>
      </c>
      <c r="E61" s="24" t="s">
        <v>4</v>
      </c>
      <c r="F61" s="24" t="s">
        <v>5</v>
      </c>
      <c r="G61" s="24" t="s">
        <v>6</v>
      </c>
      <c r="H61" s="24" t="s">
        <v>7</v>
      </c>
      <c r="I61" s="25" t="s">
        <v>8</v>
      </c>
      <c r="J61" s="24" t="s">
        <v>9</v>
      </c>
      <c r="K61" s="24" t="s">
        <v>10</v>
      </c>
      <c r="L61" s="24" t="s">
        <v>11</v>
      </c>
      <c r="M61" s="24" t="s">
        <v>12</v>
      </c>
      <c r="N61" s="24" t="s">
        <v>13</v>
      </c>
      <c r="O61" s="26" t="s">
        <v>14</v>
      </c>
      <c r="P61" s="26" t="s">
        <v>238</v>
      </c>
    </row>
    <row r="62" spans="1:16" x14ac:dyDescent="0.25">
      <c r="A62" s="28" t="s">
        <v>251</v>
      </c>
      <c r="B62" s="27" t="s">
        <v>252</v>
      </c>
      <c r="C62" s="27" t="s">
        <v>264</v>
      </c>
      <c r="D62" s="27" t="s">
        <v>240</v>
      </c>
      <c r="E62" s="27" t="s">
        <v>241</v>
      </c>
      <c r="F62" s="27" t="s">
        <v>20</v>
      </c>
      <c r="G62" s="27">
        <v>64</v>
      </c>
      <c r="H62" s="43">
        <f>(16.68/100)</f>
        <v>0.1668</v>
      </c>
      <c r="I62" s="5">
        <f>AOM[[#This Row],[Unit Price]]*AOM[[#This Row],[Quantity]]</f>
        <v>10.6752</v>
      </c>
      <c r="J62" s="27" t="s">
        <v>235</v>
      </c>
      <c r="K62" s="27" t="s">
        <v>235</v>
      </c>
      <c r="L62" s="27" t="s">
        <v>242</v>
      </c>
      <c r="M62" s="27" t="s">
        <v>235</v>
      </c>
      <c r="N62" s="27" t="s">
        <v>235</v>
      </c>
      <c r="O62" s="27" t="s">
        <v>235</v>
      </c>
      <c r="P62" s="29" t="s">
        <v>243</v>
      </c>
    </row>
    <row r="63" spans="1:16" x14ac:dyDescent="0.25">
      <c r="A63" s="28"/>
      <c r="B63" s="27" t="s">
        <v>250</v>
      </c>
      <c r="C63" s="27" t="s">
        <v>264</v>
      </c>
      <c r="D63" s="27" t="s">
        <v>281</v>
      </c>
      <c r="E63" s="27" t="s">
        <v>241</v>
      </c>
      <c r="F63" s="27" t="s">
        <v>20</v>
      </c>
      <c r="G63" s="27">
        <v>64</v>
      </c>
      <c r="H63" s="43">
        <f>9.49/100</f>
        <v>9.4899999999999998E-2</v>
      </c>
      <c r="I63" s="5">
        <f>AOM[[#This Row],[Unit Price]]*AOM[[#This Row],[Quantity]]</f>
        <v>6.0735999999999999</v>
      </c>
      <c r="J63" s="27" t="s">
        <v>235</v>
      </c>
      <c r="K63" s="27" t="s">
        <v>235</v>
      </c>
      <c r="L63" s="27" t="s">
        <v>249</v>
      </c>
      <c r="M63" s="27" t="s">
        <v>235</v>
      </c>
      <c r="N63" s="27" t="s">
        <v>235</v>
      </c>
      <c r="O63" s="27" t="s">
        <v>235</v>
      </c>
      <c r="P63" s="29" t="s">
        <v>243</v>
      </c>
    </row>
    <row r="64" spans="1:16" x14ac:dyDescent="0.25">
      <c r="A64" t="s">
        <v>244</v>
      </c>
      <c r="B64" t="s">
        <v>245</v>
      </c>
      <c r="C64" t="s">
        <v>264</v>
      </c>
      <c r="D64" t="s">
        <v>339</v>
      </c>
      <c r="E64" t="s">
        <v>210</v>
      </c>
      <c r="F64" t="s">
        <v>20</v>
      </c>
      <c r="G64">
        <f>Overall!L8*1000</f>
        <v>2000</v>
      </c>
      <c r="H64" s="5">
        <f>0.28/25.4</f>
        <v>1.1023622047244096E-2</v>
      </c>
      <c r="I64" s="5">
        <f>AOM[[#This Row],[Unit Price]]*AOM[[#This Row],[Quantity]]</f>
        <v>22.047244094488192</v>
      </c>
      <c r="J64" t="s">
        <v>235</v>
      </c>
      <c r="K64" t="s">
        <v>235</v>
      </c>
      <c r="L64" t="s">
        <v>268</v>
      </c>
      <c r="M64" t="s">
        <v>235</v>
      </c>
      <c r="N64" t="s">
        <v>235</v>
      </c>
      <c r="O64" t="s">
        <v>235</v>
      </c>
      <c r="P64" t="s">
        <v>247</v>
      </c>
    </row>
    <row r="65" spans="1:16" x14ac:dyDescent="0.25">
      <c r="A65" s="36" t="s">
        <v>291</v>
      </c>
      <c r="B65" s="37" t="s">
        <v>245</v>
      </c>
      <c r="C65" s="37" t="s">
        <v>264</v>
      </c>
      <c r="D65" s="37" t="s">
        <v>292</v>
      </c>
      <c r="E65" s="37" t="s">
        <v>210</v>
      </c>
      <c r="F65" s="37" t="s">
        <v>20</v>
      </c>
      <c r="G65" s="37">
        <f>Overall!L7*1000</f>
        <v>2000</v>
      </c>
      <c r="H65" s="44">
        <f t="shared" ref="H65" si="2">0.16/25.4</f>
        <v>6.2992125984251976E-3</v>
      </c>
      <c r="I65" s="5">
        <f>AOM[[#This Row],[Unit Price]]*AOM[[#This Row],[Quantity]]</f>
        <v>12.598425196850394</v>
      </c>
      <c r="J65" t="s">
        <v>235</v>
      </c>
      <c r="K65" t="s">
        <v>235</v>
      </c>
      <c r="L65" t="s">
        <v>329</v>
      </c>
      <c r="M65" t="s">
        <v>235</v>
      </c>
      <c r="N65" t="s">
        <v>235</v>
      </c>
      <c r="O65" t="s">
        <v>235</v>
      </c>
      <c r="P65" t="s">
        <v>247</v>
      </c>
    </row>
    <row r="66" spans="1:16" x14ac:dyDescent="0.25">
      <c r="A66" s="28" t="s">
        <v>318</v>
      </c>
      <c r="B66" s="37" t="s">
        <v>317</v>
      </c>
      <c r="C66" s="37" t="s">
        <v>264</v>
      </c>
      <c r="D66" s="37" t="s">
        <v>286</v>
      </c>
      <c r="E66" s="37" t="s">
        <v>255</v>
      </c>
      <c r="F66" s="37" t="s">
        <v>20</v>
      </c>
      <c r="G66" s="37">
        <f>ROUND(Overall!L7*1000*1.15,1)</f>
        <v>2300</v>
      </c>
      <c r="H66" s="32">
        <f>10.99/5000</f>
        <v>2.1979999999999999E-3</v>
      </c>
      <c r="I66" s="5">
        <f>AOM[[#This Row],[Unit Price]]*AOM[[#This Row],[Quantity]]</f>
        <v>5.0553999999999997</v>
      </c>
      <c r="J66" t="s">
        <v>235</v>
      </c>
      <c r="K66" t="s">
        <v>235</v>
      </c>
      <c r="L66" t="s">
        <v>287</v>
      </c>
      <c r="M66" t="s">
        <v>235</v>
      </c>
      <c r="N66" t="s">
        <v>235</v>
      </c>
      <c r="O66" t="s">
        <v>235</v>
      </c>
      <c r="P66" t="s">
        <v>288</v>
      </c>
    </row>
    <row r="67" spans="1:16" x14ac:dyDescent="0.25">
      <c r="A67" s="28" t="s">
        <v>254</v>
      </c>
      <c r="B67" s="27" t="s">
        <v>253</v>
      </c>
      <c r="C67" s="27" t="s">
        <v>264</v>
      </c>
      <c r="D67" s="27" t="s">
        <v>344</v>
      </c>
      <c r="E67" s="27" t="s">
        <v>255</v>
      </c>
      <c r="F67" s="27" t="s">
        <v>20</v>
      </c>
      <c r="G67" s="27">
        <v>2</v>
      </c>
      <c r="H67" s="43">
        <f>22.64*0.089</f>
        <v>2.0149599999999999</v>
      </c>
      <c r="I67" s="5">
        <f>AOM[[#This Row],[Unit Price]]*AOM[[#This Row],[Quantity]]</f>
        <v>4.0299199999999997</v>
      </c>
      <c r="J67" t="s">
        <v>235</v>
      </c>
      <c r="K67" t="s">
        <v>235</v>
      </c>
      <c r="L67" t="s">
        <v>278</v>
      </c>
      <c r="M67" t="s">
        <v>235</v>
      </c>
      <c r="N67" t="s">
        <v>235</v>
      </c>
      <c r="O67" t="s">
        <v>235</v>
      </c>
      <c r="P67" t="s">
        <v>258</v>
      </c>
    </row>
    <row r="68" spans="1:16" x14ac:dyDescent="0.25">
      <c r="A68" s="28" t="s">
        <v>345</v>
      </c>
      <c r="B68" s="27" t="s">
        <v>346</v>
      </c>
      <c r="C68" s="37" t="s">
        <v>264</v>
      </c>
      <c r="D68" s="27" t="s">
        <v>347</v>
      </c>
      <c r="E68" s="27" t="s">
        <v>210</v>
      </c>
      <c r="F68" s="27" t="s">
        <v>20</v>
      </c>
      <c r="G68" s="27">
        <v>8</v>
      </c>
      <c r="H68" s="43">
        <v>1.2</v>
      </c>
      <c r="I68" s="5">
        <f>AOM[[#This Row],[Unit Price]]*AOM[[#This Row],[Quantity]]</f>
        <v>9.6</v>
      </c>
      <c r="J68" t="s">
        <v>235</v>
      </c>
      <c r="K68" t="s">
        <v>235</v>
      </c>
      <c r="L68" t="s">
        <v>348</v>
      </c>
      <c r="M68" t="s">
        <v>235</v>
      </c>
      <c r="N68" t="s">
        <v>235</v>
      </c>
      <c r="O68" t="s">
        <v>235</v>
      </c>
    </row>
    <row r="69" spans="1:16" ht="27.75" customHeight="1" x14ac:dyDescent="0.45">
      <c r="A69" s="49" t="s">
        <v>205</v>
      </c>
      <c r="B69" s="49"/>
      <c r="C69" s="49"/>
      <c r="D69" s="49"/>
      <c r="E69" s="49"/>
      <c r="F69" s="49"/>
      <c r="G69" s="49"/>
      <c r="H69" s="49"/>
      <c r="I69" s="5">
        <f>SUM(AOM[Extended Price])</f>
        <v>70.079789291338585</v>
      </c>
    </row>
  </sheetData>
  <mergeCells count="10">
    <mergeCell ref="A69:H69"/>
    <mergeCell ref="A49:O49"/>
    <mergeCell ref="A58:H58"/>
    <mergeCell ref="A60:O60"/>
    <mergeCell ref="A1:O1"/>
    <mergeCell ref="A10:O10"/>
    <mergeCell ref="A8:H8"/>
    <mergeCell ref="A30:H30"/>
    <mergeCell ref="A32:O32"/>
    <mergeCell ref="A47:H47"/>
  </mergeCells>
  <conditionalFormatting sqref="I3:I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3 I15:I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4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13 H15:H2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I5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1:I5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1:H5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2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:H63 H6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2:I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:H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Electrical </vt:lpstr>
      <vt:lpstr>Mechanical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Jorian Brusind</dc:creator>
  <cp:lastModifiedBy>Jorian Brusind</cp:lastModifiedBy>
  <dcterms:created xsi:type="dcterms:W3CDTF">2021-03-29T18:37:09Z</dcterms:created>
  <dcterms:modified xsi:type="dcterms:W3CDTF">2021-03-31T17:26:18Z</dcterms:modified>
</cp:coreProperties>
</file>