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 defaultThemeVersion="124226"/>
  <xr:revisionPtr revIDLastSave="132" documentId="11_B9598CB0878D77596A6808B025C49E592FB4F88E" xr6:coauthVersionLast="47" xr6:coauthVersionMax="47" xr10:uidLastSave="{589FDDC3-81BF-4E24-BCA4-BF681E009436}"/>
  <bookViews>
    <workbookView xWindow="21345" yWindow="495" windowWidth="16500" windowHeight="20265" activeTab="1" xr2:uid="{00000000-000D-0000-FFFF-FFFF00000000}"/>
  </bookViews>
  <sheets>
    <sheet name="formula comparison" sheetId="1" r:id="rId1"/>
    <sheet name="Montenbruck" sheetId="3" r:id="rId2"/>
    <sheet name="Known Periods" sheetId="4" r:id="rId3"/>
    <sheet name="Modulo behavior" sheetId="2" r:id="rId4"/>
  </sheets>
  <definedNames>
    <definedName name="a">'formula comparison'!$C$5</definedName>
    <definedName name="b">'formula comparison'!$C$15</definedName>
    <definedName name="hh">'formula comparison'!$C$16</definedName>
    <definedName name="littleu">'formula comparison'!$C$17</definedName>
    <definedName name="m">'formula comparison'!$C$7</definedName>
    <definedName name="mm">'formula comparison'!$C$14</definedName>
    <definedName name="ss">'formula comparison'!$C$12</definedName>
    <definedName name="U">'formula comparison'!$C$11</definedName>
    <definedName name="y">'formula comparison'!$C$6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3" l="1"/>
  <c r="H43" i="3"/>
  <c r="H42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5" i="3"/>
  <c r="G44" i="3"/>
  <c r="F44" i="3"/>
  <c r="E44" i="3"/>
  <c r="G43" i="3"/>
  <c r="I43" i="3" s="1"/>
  <c r="F43" i="3"/>
  <c r="E43" i="3"/>
  <c r="E6" i="4"/>
  <c r="E5" i="4"/>
  <c r="E4" i="4"/>
  <c r="G42" i="3"/>
  <c r="F42" i="3"/>
  <c r="E42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I25" i="3" s="1"/>
  <c r="G26" i="3"/>
  <c r="G27" i="3"/>
  <c r="G28" i="3"/>
  <c r="G29" i="3"/>
  <c r="G30" i="3"/>
  <c r="G31" i="3"/>
  <c r="G32" i="3"/>
  <c r="G33" i="3"/>
  <c r="G34" i="3"/>
  <c r="G35" i="3"/>
  <c r="G36" i="3"/>
  <c r="G37" i="3"/>
  <c r="G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5" i="3"/>
  <c r="I42" i="3" l="1"/>
  <c r="I18" i="3"/>
  <c r="I14" i="3"/>
  <c r="I16" i="3"/>
  <c r="I33" i="3"/>
  <c r="I19" i="3"/>
  <c r="I15" i="3"/>
  <c r="I17" i="3"/>
  <c r="I34" i="3"/>
  <c r="I31" i="3"/>
  <c r="I30" i="3"/>
  <c r="I35" i="3"/>
  <c r="I32" i="3"/>
  <c r="I26" i="3"/>
  <c r="I10" i="3"/>
  <c r="I44" i="3"/>
  <c r="I9" i="3"/>
  <c r="I22" i="3"/>
  <c r="I6" i="3"/>
  <c r="I24" i="3"/>
  <c r="I8" i="3"/>
  <c r="I23" i="3"/>
  <c r="I7" i="3"/>
  <c r="I5" i="3"/>
  <c r="I13" i="3"/>
  <c r="I12" i="3"/>
  <c r="I29" i="3"/>
  <c r="I28" i="3"/>
  <c r="I27" i="3"/>
  <c r="I11" i="3"/>
  <c r="I37" i="3"/>
  <c r="I21" i="3"/>
  <c r="I36" i="3"/>
  <c r="I20" i="3"/>
  <c r="B2" i="2"/>
  <c r="C20" i="1" l="1"/>
  <c r="F26" i="1" l="1"/>
  <c r="C41" i="1" s="1"/>
  <c r="C42" i="1" s="1"/>
  <c r="F25" i="1"/>
  <c r="F24" i="1"/>
  <c r="F23" i="1"/>
  <c r="F22" i="1"/>
  <c r="C27" i="1"/>
  <c r="C26" i="1"/>
  <c r="C25" i="1"/>
  <c r="C22" i="1"/>
  <c r="C30" i="1"/>
  <c r="C31" i="1" s="1"/>
  <c r="C32" i="1" s="1"/>
  <c r="C33" i="1" s="1"/>
  <c r="C12" i="1"/>
  <c r="C13" i="1" s="1"/>
  <c r="C5" i="1"/>
  <c r="C14" i="1" s="1"/>
  <c r="C15" i="1" s="1"/>
  <c r="C16" i="1" s="1"/>
  <c r="C44" i="1" l="1"/>
  <c r="C43" i="1"/>
  <c r="C6" i="1"/>
  <c r="C7" i="1"/>
  <c r="C34" i="1"/>
  <c r="C36" i="1" s="1"/>
  <c r="C37" i="1" s="1"/>
  <c r="C17" i="1"/>
  <c r="C18" i="1" s="1"/>
  <c r="C8" i="1" l="1"/>
  <c r="C46" i="1"/>
  <c r="C47" i="1" s="1"/>
  <c r="C45" i="1"/>
  <c r="C35" i="1"/>
  <c r="C48" i="1" l="1"/>
  <c r="C49" i="1" s="1"/>
</calcChain>
</file>

<file path=xl/sharedStrings.xml><?xml version="1.0" encoding="utf-8"?>
<sst xmlns="http://schemas.openxmlformats.org/spreadsheetml/2006/main" count="123" uniqueCount="99">
  <si>
    <t>Julian date calculation</t>
  </si>
  <si>
    <t>a</t>
  </si>
  <si>
    <t>=</t>
  </si>
  <si>
    <t>Gregorian date to be converted</t>
  </si>
  <si>
    <t>day</t>
  </si>
  <si>
    <t>month</t>
  </si>
  <si>
    <t>year</t>
  </si>
  <si>
    <t>y</t>
  </si>
  <si>
    <t>m</t>
  </si>
  <si>
    <t>JDN</t>
  </si>
  <si>
    <t>From unix time</t>
  </si>
  <si>
    <t>time to convert</t>
  </si>
  <si>
    <t>ss</t>
  </si>
  <si>
    <t>mm</t>
  </si>
  <si>
    <t>b</t>
  </si>
  <si>
    <t>hh</t>
  </si>
  <si>
    <t>littleu</t>
  </si>
  <si>
    <t>J</t>
  </si>
  <si>
    <t>Julian date to convert</t>
  </si>
  <si>
    <t>v</t>
  </si>
  <si>
    <t>j</t>
  </si>
  <si>
    <t>u</t>
  </si>
  <si>
    <t>s</t>
  </si>
  <si>
    <t>n</t>
  </si>
  <si>
    <t>w</t>
  </si>
  <si>
    <t>r</t>
  </si>
  <si>
    <t>B</t>
  </si>
  <si>
    <t>p</t>
  </si>
  <si>
    <t>C</t>
  </si>
  <si>
    <t>Step</t>
  </si>
  <si>
    <t>f=</t>
  </si>
  <si>
    <t>e=</t>
  </si>
  <si>
    <t>g=</t>
  </si>
  <si>
    <t>h=</t>
  </si>
  <si>
    <t>D=</t>
  </si>
  <si>
    <t>M=</t>
  </si>
  <si>
    <t>Y=</t>
  </si>
  <si>
    <t>1a</t>
  </si>
  <si>
    <t>g =</t>
  </si>
  <si>
    <t>G</t>
  </si>
  <si>
    <t>Algorithm F, Mapping Time page 324</t>
  </si>
  <si>
    <t>Exp Sup 3rd</t>
  </si>
  <si>
    <t>Mapping Time</t>
  </si>
  <si>
    <t>1401 + g</t>
  </si>
  <si>
    <t>step</t>
  </si>
  <si>
    <t>1b</t>
  </si>
  <si>
    <t>J' =</t>
  </si>
  <si>
    <t>T' =</t>
  </si>
  <si>
    <t>Y' =</t>
  </si>
  <si>
    <t>M' =</t>
  </si>
  <si>
    <t>D' =</t>
  </si>
  <si>
    <t>D =</t>
  </si>
  <si>
    <t>M =</t>
  </si>
  <si>
    <t>Y =</t>
  </si>
  <si>
    <t>J', a number similar to J but which can be handled with Julian calendar rules.</t>
  </si>
  <si>
    <t>=T', the number of days remaining in the computational period after complete years are removed.</t>
  </si>
  <si>
    <t>Intermediate result, will be equal to number of complete years in J' after e is divided by p</t>
  </si>
  <si>
    <t>Corresponds to Algorythm F but division of e by p is done in this step rather than computing Y' in a separate step</t>
  </si>
  <si>
    <t>Corresponds to Algorythm F but M' and D' are not brought out as distinct quantities.</t>
  </si>
  <si>
    <t>Difference between J&lt;sub&gt;G and J&lt;sub&gt;J, which result from treating date as Gregorian or Julian</t>
  </si>
  <si>
    <t>Computational day number, positioned at March 1 at start of leap year cycle</t>
  </si>
  <si>
    <t>Complete years in computational period J'</t>
  </si>
  <si>
    <t>Days remaining in J' after complete years are removed</t>
  </si>
  <si>
    <t>Number of full months before J', where March is month 0</t>
  </si>
  <si>
    <t>Day of current month where first day = 0</t>
  </si>
  <si>
    <t>Convert from computational to calendar day number</t>
  </si>
  <si>
    <t>Convert from computational to calendar month number</t>
  </si>
  <si>
    <t>Year</t>
  </si>
  <si>
    <t>Values tested</t>
  </si>
  <si>
    <t>(success unless otherwise noted)</t>
  </si>
  <si>
    <t>Richard's algorithm</t>
  </si>
  <si>
    <t>Should be</t>
  </si>
  <si>
    <t>Expression</t>
  </si>
  <si>
    <t>Result</t>
  </si>
  <si>
    <t>=MOD(-2, 7)</t>
  </si>
  <si>
    <t>This is what the Wikipedia article "Zeller's congruence" calls the "mathematician's definition of modulo division"</t>
  </si>
  <si>
    <t>Alegedly some computer software gives the result -2. Excel's behavior gives</t>
  </si>
  <si>
    <t>the desireable result that if dividend is increased by an integer multiple of the modulus,</t>
  </si>
  <si>
    <t>the result is the same.</t>
  </si>
  <si>
    <t xml:space="preserve">Added to Wikipedia on </t>
  </si>
  <si>
    <t>by Mathnerd314159</t>
  </si>
  <si>
    <t xml:space="preserve"> Jd</t>
  </si>
  <si>
    <t xml:space="preserve"> Gregorian</t>
  </si>
  <si>
    <t xml:space="preserve"> </t>
  </si>
  <si>
    <t xml:space="preserve"> Year</t>
  </si>
  <si>
    <t xml:space="preserve"> Month</t>
  </si>
  <si>
    <t xml:space="preserve"> Day</t>
  </si>
  <si>
    <t>JD</t>
  </si>
  <si>
    <t>Sample data from _Calendrical Calculations_  4th ed. 2018, page 447</t>
  </si>
  <si>
    <t>Check</t>
  </si>
  <si>
    <t>Additional test cases to stress the algorithm</t>
  </si>
  <si>
    <t>R &amp; D page</t>
  </si>
  <si>
    <t>Known JD intervals</t>
  </si>
  <si>
    <t>The Gregorian calendar are known to have a 400 leap year cycle</t>
  </si>
  <si>
    <t>*</t>
  </si>
  <si>
    <t xml:space="preserve">Plus </t>
  </si>
  <si>
    <t>years divisible by 4</t>
  </si>
  <si>
    <t>Minus</t>
  </si>
  <si>
    <t>years divisible by 100 but not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</si>
</sst>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\-mmm\-yyyy\ h:mm:ss"/>
    <numFmt numFmtId="165" formatCode="0.000"/>
    <numFmt numFmtId="166" formatCode="_(* #,##0_);_(* \(#,##0\);_(* &quot;-&quot;??_);_(@_)"/>
  </numFmts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0"/>
      <color theme="6" tint="-0.499984740745262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</borders>
  <cellStyleXfs count="7">
    <xf numFmtId="0" fontId="0" fillId="0" borderId="0"/>
    <xf numFmtId="0" fontId="4" fillId="0" borderId="2" applyNumberFormat="0" applyFill="0" applyAlignment="0" applyProtection="0"/>
    <xf numFmtId="0" fontId="5" fillId="0" borderId="0"/>
    <xf numFmtId="0" fontId="6" fillId="2" borderId="3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43" fontId="9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2" xfId="1"/>
    <xf numFmtId="0" fontId="5" fillId="0" borderId="0" xfId="2"/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3" fontId="5" fillId="0" borderId="0" xfId="2" applyNumberFormat="1"/>
    <xf numFmtId="3" fontId="0" fillId="0" borderId="0" xfId="0" applyNumberFormat="1"/>
    <xf numFmtId="0" fontId="2" fillId="0" borderId="0" xfId="0" applyFont="1" applyAlignment="1">
      <alignment horizontal="right"/>
    </xf>
    <xf numFmtId="3" fontId="0" fillId="0" borderId="1" xfId="0" applyNumberFormat="1" applyBorder="1"/>
    <xf numFmtId="3" fontId="6" fillId="2" borderId="3" xfId="3" applyNumberFormat="1"/>
    <xf numFmtId="0" fontId="6" fillId="2" borderId="3" xfId="3"/>
    <xf numFmtId="0" fontId="6" fillId="2" borderId="4" xfId="3" applyBorder="1"/>
    <xf numFmtId="0" fontId="6" fillId="2" borderId="5" xfId="3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7" fillId="3" borderId="0" xfId="4"/>
    <xf numFmtId="2" fontId="8" fillId="4" borderId="0" xfId="5" applyNumberFormat="1"/>
    <xf numFmtId="0" fontId="8" fillId="4" borderId="0" xfId="5"/>
    <xf numFmtId="166" fontId="0" fillId="0" borderId="0" xfId="6" applyNumberFormat="1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Check Cell" xfId="3" builtinId="23"/>
    <cellStyle name="Comma" xfId="6" builtinId="3"/>
    <cellStyle name="Given constant" xfId="2" xr:uid="{00000000-0005-0000-0000-000001000000}"/>
    <cellStyle name="Good" xfId="4" builtinId="26"/>
    <cellStyle name="Heading 1" xfId="1" builtinId="1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>
      <selection activeCell="I4" sqref="I4"/>
    </sheetView>
  </sheetViews>
  <sheetFormatPr defaultRowHeight="12.75" x14ac:dyDescent="0.2"/>
  <cols>
    <col min="2" max="2" width="11.5703125" customWidth="1"/>
    <col min="3" max="3" width="21.7109375" customWidth="1"/>
    <col min="5" max="5" width="11.5703125" customWidth="1"/>
  </cols>
  <sheetData>
    <row r="1" spans="1:9" x14ac:dyDescent="0.2">
      <c r="A1" t="s">
        <v>0</v>
      </c>
    </row>
    <row r="3" spans="1:9" x14ac:dyDescent="0.2">
      <c r="A3" t="s">
        <v>3</v>
      </c>
      <c r="D3" t="s">
        <v>6</v>
      </c>
      <c r="E3">
        <v>-4713</v>
      </c>
      <c r="F3" t="s">
        <v>5</v>
      </c>
      <c r="G3">
        <v>11</v>
      </c>
      <c r="H3" t="s">
        <v>4</v>
      </c>
      <c r="I3">
        <v>24</v>
      </c>
    </row>
    <row r="5" spans="1:9" x14ac:dyDescent="0.2">
      <c r="A5" t="s">
        <v>1</v>
      </c>
      <c r="B5" t="s">
        <v>2</v>
      </c>
      <c r="C5">
        <f>FLOOR((14-G3)/12,1)</f>
        <v>0</v>
      </c>
    </row>
    <row r="6" spans="1:9" x14ac:dyDescent="0.2">
      <c r="A6" t="s">
        <v>7</v>
      </c>
      <c r="B6" t="s">
        <v>2</v>
      </c>
      <c r="C6">
        <f>E3+4800-a</f>
        <v>87</v>
      </c>
    </row>
    <row r="7" spans="1:9" x14ac:dyDescent="0.2">
      <c r="A7" t="s">
        <v>8</v>
      </c>
      <c r="B7" t="s">
        <v>2</v>
      </c>
      <c r="C7">
        <f>G3+(12*a)-3</f>
        <v>8</v>
      </c>
    </row>
    <row r="8" spans="1:9" x14ac:dyDescent="0.2">
      <c r="A8" t="s">
        <v>9</v>
      </c>
      <c r="B8" t="s">
        <v>2</v>
      </c>
      <c r="C8">
        <f>I3+FLOOR((153*m+2)/5,1)+365*y+FLOOR(y/4,1)-FLOOR(y/100,1)+FLOOR(y/400,1)-32045</f>
        <v>0</v>
      </c>
    </row>
    <row r="10" spans="1:9" x14ac:dyDescent="0.2">
      <c r="A10" t="s">
        <v>10</v>
      </c>
    </row>
    <row r="11" spans="1:9" x14ac:dyDescent="0.2">
      <c r="A11" t="s">
        <v>11</v>
      </c>
      <c r="C11">
        <v>1252411200</v>
      </c>
    </row>
    <row r="12" spans="1:9" x14ac:dyDescent="0.2">
      <c r="A12" t="s">
        <v>12</v>
      </c>
      <c r="C12">
        <f>MOD(U,60)</f>
        <v>0</v>
      </c>
    </row>
    <row r="13" spans="1:9" x14ac:dyDescent="0.2">
      <c r="A13" t="s">
        <v>1</v>
      </c>
      <c r="C13">
        <f>QUOTIENT(U-ss,60)</f>
        <v>20873520</v>
      </c>
    </row>
    <row r="14" spans="1:9" x14ac:dyDescent="0.2">
      <c r="A14" t="s">
        <v>13</v>
      </c>
      <c r="C14">
        <f>MOD(a,60)</f>
        <v>0</v>
      </c>
    </row>
    <row r="15" spans="1:9" x14ac:dyDescent="0.2">
      <c r="A15" t="s">
        <v>14</v>
      </c>
      <c r="C15">
        <f>QUOTIENT(a-mm,60)</f>
        <v>0</v>
      </c>
    </row>
    <row r="16" spans="1:9" x14ac:dyDescent="0.2">
      <c r="A16" t="s">
        <v>15</v>
      </c>
      <c r="C16">
        <f>MOD(b,24)</f>
        <v>0</v>
      </c>
    </row>
    <row r="17" spans="1:15" x14ac:dyDescent="0.2">
      <c r="A17" t="s">
        <v>16</v>
      </c>
      <c r="C17">
        <f>U-ss-mm*60-hh*3600</f>
        <v>1252411200</v>
      </c>
    </row>
    <row r="18" spans="1:15" s="1" customFormat="1" ht="13.5" thickBot="1" x14ac:dyDescent="0.25">
      <c r="A18" s="1" t="s">
        <v>17</v>
      </c>
      <c r="C18" s="12">
        <f>QUOTIENT(littleu,86400)+2440588</f>
        <v>2455083</v>
      </c>
    </row>
    <row r="19" spans="1:15" ht="13.5" thickTop="1" x14ac:dyDescent="0.2"/>
    <row r="20" spans="1:15" x14ac:dyDescent="0.2">
      <c r="A20" s="2" t="s">
        <v>18</v>
      </c>
      <c r="C20" s="10">
        <f>-1364-28</f>
        <v>-1392</v>
      </c>
      <c r="H20" t="s">
        <v>68</v>
      </c>
      <c r="J20" s="2" t="s">
        <v>69</v>
      </c>
    </row>
    <row r="21" spans="1:15" ht="13.5" thickBot="1" x14ac:dyDescent="0.25">
      <c r="A21" s="2"/>
      <c r="B21" s="2" t="s">
        <v>41</v>
      </c>
      <c r="C21" s="2" t="s">
        <v>42</v>
      </c>
      <c r="E21" s="2" t="s">
        <v>41</v>
      </c>
      <c r="F21" s="2" t="s">
        <v>42</v>
      </c>
      <c r="H21" t="s">
        <v>9</v>
      </c>
      <c r="I21" t="s">
        <v>6</v>
      </c>
      <c r="J21" t="s">
        <v>5</v>
      </c>
      <c r="K21" t="s">
        <v>4</v>
      </c>
      <c r="L21" t="s">
        <v>9</v>
      </c>
      <c r="M21" t="s">
        <v>6</v>
      </c>
      <c r="N21" t="s">
        <v>5</v>
      </c>
      <c r="O21" t="s">
        <v>4</v>
      </c>
    </row>
    <row r="22" spans="1:15" ht="16.5" thickTop="1" thickBot="1" x14ac:dyDescent="0.3">
      <c r="A22" s="2" t="s">
        <v>7</v>
      </c>
      <c r="B22" s="6">
        <v>4716</v>
      </c>
      <c r="C22">
        <f>B22</f>
        <v>4716</v>
      </c>
      <c r="D22" s="2" t="s">
        <v>19</v>
      </c>
      <c r="E22" s="6">
        <v>3</v>
      </c>
      <c r="F22">
        <f>E22</f>
        <v>3</v>
      </c>
      <c r="H22" s="13">
        <v>2455083</v>
      </c>
      <c r="I22" s="14">
        <v>2009</v>
      </c>
      <c r="J22" s="14">
        <v>9</v>
      </c>
      <c r="K22" s="14">
        <v>8</v>
      </c>
      <c r="L22" s="15">
        <v>-1364</v>
      </c>
      <c r="M22" s="15">
        <v>-4716</v>
      </c>
      <c r="N22" s="15">
        <v>2</v>
      </c>
      <c r="O22" s="15">
        <v>29</v>
      </c>
    </row>
    <row r="23" spans="1:15" ht="16.5" thickTop="1" thickBot="1" x14ac:dyDescent="0.3">
      <c r="A23" s="2" t="s">
        <v>20</v>
      </c>
      <c r="B23" s="6">
        <v>1401</v>
      </c>
      <c r="C23" s="8" t="s">
        <v>43</v>
      </c>
      <c r="D23" s="2" t="s">
        <v>21</v>
      </c>
      <c r="E23" s="6">
        <v>5</v>
      </c>
      <c r="F23">
        <f>E23</f>
        <v>5</v>
      </c>
      <c r="H23" s="13">
        <v>2451545</v>
      </c>
      <c r="I23" s="14">
        <v>2000</v>
      </c>
      <c r="J23" s="14">
        <v>1</v>
      </c>
      <c r="K23" s="14">
        <v>1</v>
      </c>
      <c r="L23" s="24" t="s">
        <v>70</v>
      </c>
      <c r="M23" s="25"/>
      <c r="N23" s="25"/>
      <c r="O23" s="25"/>
    </row>
    <row r="24" spans="1:15" ht="16.5" thickTop="1" thickBot="1" x14ac:dyDescent="0.3">
      <c r="A24" s="2" t="s">
        <v>8</v>
      </c>
      <c r="B24" s="6">
        <v>2</v>
      </c>
      <c r="C24">
        <v>3</v>
      </c>
      <c r="D24" s="2" t="s">
        <v>22</v>
      </c>
      <c r="E24" s="6">
        <v>153</v>
      </c>
      <c r="F24">
        <f>E24</f>
        <v>153</v>
      </c>
      <c r="H24" s="13">
        <v>2433283</v>
      </c>
      <c r="I24" s="14">
        <v>1950</v>
      </c>
      <c r="J24" s="14">
        <v>1</v>
      </c>
      <c r="K24" s="14">
        <v>1</v>
      </c>
      <c r="L24" s="15">
        <v>-1392</v>
      </c>
      <c r="M24" s="16">
        <v>-4715</v>
      </c>
      <c r="N24" s="16">
        <v>2</v>
      </c>
      <c r="O24" s="16">
        <v>1</v>
      </c>
    </row>
    <row r="25" spans="1:15" ht="16.5" thickTop="1" thickBot="1" x14ac:dyDescent="0.3">
      <c r="A25" s="2" t="s">
        <v>23</v>
      </c>
      <c r="B25" s="6">
        <v>12</v>
      </c>
      <c r="C25">
        <f>B25</f>
        <v>12</v>
      </c>
      <c r="D25" s="2" t="s">
        <v>24</v>
      </c>
      <c r="E25" s="6">
        <v>2</v>
      </c>
      <c r="F25">
        <f>E25</f>
        <v>2</v>
      </c>
      <c r="H25" s="13">
        <v>2378497</v>
      </c>
      <c r="I25" s="14">
        <v>1800</v>
      </c>
      <c r="J25" s="14">
        <v>1</v>
      </c>
      <c r="K25" s="14">
        <v>1</v>
      </c>
      <c r="L25" s="24" t="s">
        <v>71</v>
      </c>
      <c r="M25" s="25"/>
      <c r="N25" s="25"/>
      <c r="O25" s="25"/>
    </row>
    <row r="26" spans="1:15" ht="16.5" thickTop="1" thickBot="1" x14ac:dyDescent="0.3">
      <c r="A26" s="2" t="s">
        <v>25</v>
      </c>
      <c r="B26" s="6">
        <v>4</v>
      </c>
      <c r="C26">
        <f>B26</f>
        <v>4</v>
      </c>
      <c r="D26" s="2" t="s">
        <v>26</v>
      </c>
      <c r="E26" s="9">
        <v>274277</v>
      </c>
      <c r="F26" s="10">
        <f>E26</f>
        <v>274277</v>
      </c>
      <c r="H26" s="13">
        <v>2341973</v>
      </c>
      <c r="I26" s="14">
        <v>1700</v>
      </c>
      <c r="J26" s="14">
        <v>1</v>
      </c>
      <c r="K26" s="14">
        <v>1</v>
      </c>
      <c r="L26" s="15">
        <v>-1392</v>
      </c>
      <c r="M26" s="15">
        <v>-4716</v>
      </c>
      <c r="N26" s="15">
        <v>2</v>
      </c>
      <c r="O26" s="15">
        <v>1</v>
      </c>
    </row>
    <row r="27" spans="1:15" ht="16.5" thickTop="1" thickBot="1" x14ac:dyDescent="0.3">
      <c r="A27" s="2" t="s">
        <v>27</v>
      </c>
      <c r="B27" s="6">
        <v>1461</v>
      </c>
      <c r="C27">
        <f>B27</f>
        <v>1461</v>
      </c>
      <c r="D27" s="2" t="s">
        <v>28</v>
      </c>
      <c r="E27" s="6">
        <v>-38</v>
      </c>
      <c r="H27" s="13">
        <v>2305448</v>
      </c>
      <c r="I27" s="14">
        <v>1600</v>
      </c>
      <c r="J27" s="14">
        <v>1</v>
      </c>
      <c r="K27" s="14">
        <v>1</v>
      </c>
    </row>
    <row r="28" spans="1:15" ht="16.5" thickTop="1" thickBot="1" x14ac:dyDescent="0.3">
      <c r="D28" s="2" t="s">
        <v>39</v>
      </c>
      <c r="F28">
        <v>-38</v>
      </c>
      <c r="H28" s="13">
        <v>0</v>
      </c>
      <c r="I28" s="14">
        <v>-4713</v>
      </c>
      <c r="J28" s="14">
        <v>11</v>
      </c>
      <c r="K28" s="14">
        <v>24</v>
      </c>
    </row>
    <row r="29" spans="1:15" ht="16.5" thickTop="1" thickBot="1" x14ac:dyDescent="0.3">
      <c r="A29" s="2" t="s">
        <v>29</v>
      </c>
      <c r="H29" s="13">
        <v>-1362</v>
      </c>
      <c r="I29" s="13">
        <v>-4716</v>
      </c>
      <c r="J29" s="13">
        <v>3</v>
      </c>
      <c r="K29" s="13">
        <v>2</v>
      </c>
    </row>
    <row r="30" spans="1:15" ht="16.5" thickTop="1" thickBot="1" x14ac:dyDescent="0.3">
      <c r="A30" s="2">
        <v>1</v>
      </c>
      <c r="B30" s="2" t="s">
        <v>30</v>
      </c>
      <c r="C30" s="10">
        <f>C20+B23</f>
        <v>9</v>
      </c>
      <c r="E30" s="4"/>
      <c r="H30" s="13">
        <v>-1363</v>
      </c>
      <c r="I30" s="13">
        <v>-4716</v>
      </c>
      <c r="J30" s="13">
        <v>3</v>
      </c>
      <c r="K30" s="13">
        <v>1</v>
      </c>
    </row>
    <row r="31" spans="1:15" ht="13.5" thickTop="1" x14ac:dyDescent="0.2">
      <c r="A31" s="2" t="s">
        <v>37</v>
      </c>
      <c r="B31" s="2" t="s">
        <v>30</v>
      </c>
      <c r="C31" s="10">
        <f>C30+(QUOTIENT(QUOTIENT(4*$C$20+$E$26,146097)*3,4)+$E$27)</f>
        <v>-29</v>
      </c>
      <c r="F31" t="s">
        <v>54</v>
      </c>
    </row>
    <row r="32" spans="1:15" x14ac:dyDescent="0.2">
      <c r="A32">
        <v>2</v>
      </c>
      <c r="B32" s="2" t="s">
        <v>31</v>
      </c>
      <c r="C32" s="10">
        <f>$B$26*C31+$E$22</f>
        <v>-113</v>
      </c>
      <c r="F32" t="s">
        <v>56</v>
      </c>
    </row>
    <row r="33" spans="1:7" x14ac:dyDescent="0.2">
      <c r="A33">
        <v>3</v>
      </c>
      <c r="B33" s="2" t="s">
        <v>32</v>
      </c>
      <c r="C33">
        <f>QUOTIENT(MOD(C32,$B$27),$B$26)</f>
        <v>337</v>
      </c>
      <c r="D33" s="2"/>
      <c r="F33" s="7" t="s">
        <v>55</v>
      </c>
    </row>
    <row r="34" spans="1:7" x14ac:dyDescent="0.2">
      <c r="A34">
        <v>4</v>
      </c>
      <c r="B34" s="2" t="s">
        <v>33</v>
      </c>
      <c r="C34">
        <f>$E$23*C33+$E$25</f>
        <v>1687</v>
      </c>
      <c r="F34" t="s">
        <v>58</v>
      </c>
      <c r="G34" s="2"/>
    </row>
    <row r="35" spans="1:7" x14ac:dyDescent="0.2">
      <c r="A35">
        <v>5</v>
      </c>
      <c r="B35" s="3" t="s">
        <v>34</v>
      </c>
      <c r="C35">
        <f>(QUOTIENT(MOD(C34,$E$24),$E$23)+1)</f>
        <v>1</v>
      </c>
    </row>
    <row r="36" spans="1:7" x14ac:dyDescent="0.2">
      <c r="A36">
        <v>6</v>
      </c>
      <c r="B36" s="3" t="s">
        <v>35</v>
      </c>
      <c r="C36">
        <f>MOD(QUOTIENT(C34,$E$24)+$B$24,$B$25)+1</f>
        <v>2</v>
      </c>
    </row>
    <row r="37" spans="1:7" x14ac:dyDescent="0.2">
      <c r="A37">
        <v>7</v>
      </c>
      <c r="B37" s="3" t="s">
        <v>36</v>
      </c>
      <c r="C37">
        <f>QUOTIENT(C32,$B$27)-$B$22+QUOTIENT($B$25+$B$24-C36,$B$25)</f>
        <v>-4715</v>
      </c>
      <c r="F37" t="s">
        <v>57</v>
      </c>
    </row>
    <row r="39" spans="1:7" ht="20.25" thickBot="1" x14ac:dyDescent="0.35">
      <c r="A39" s="5" t="s">
        <v>40</v>
      </c>
    </row>
    <row r="40" spans="1:7" ht="13.5" thickTop="1" x14ac:dyDescent="0.2">
      <c r="A40" s="2" t="s">
        <v>44</v>
      </c>
    </row>
    <row r="41" spans="1:7" x14ac:dyDescent="0.2">
      <c r="A41" s="11" t="s">
        <v>37</v>
      </c>
      <c r="B41" s="2" t="s">
        <v>38</v>
      </c>
      <c r="C41" s="2">
        <f>3*QUOTIENT(QUOTIENT(4*$C$20+$F$26,146097),4)+F28</f>
        <v>-38</v>
      </c>
      <c r="F41" t="s">
        <v>59</v>
      </c>
    </row>
    <row r="42" spans="1:7" x14ac:dyDescent="0.2">
      <c r="A42" s="11" t="s">
        <v>45</v>
      </c>
      <c r="B42" s="2" t="s">
        <v>46</v>
      </c>
      <c r="C42" s="10">
        <f>C20+B23+C41</f>
        <v>-29</v>
      </c>
      <c r="F42" t="s">
        <v>60</v>
      </c>
    </row>
    <row r="43" spans="1:7" x14ac:dyDescent="0.2">
      <c r="A43">
        <v>2</v>
      </c>
      <c r="B43" s="2" t="s">
        <v>48</v>
      </c>
      <c r="C43">
        <f>QUOTIENT(C26*C42+F22,C27)</f>
        <v>0</v>
      </c>
      <c r="F43" t="s">
        <v>61</v>
      </c>
    </row>
    <row r="44" spans="1:7" x14ac:dyDescent="0.2">
      <c r="A44">
        <v>3</v>
      </c>
      <c r="B44" s="2" t="s">
        <v>47</v>
      </c>
      <c r="C44">
        <f>QUOTIENT(MOD($C$26*C42+$F$22,$C$27),$C$26)</f>
        <v>337</v>
      </c>
      <c r="F44" t="s">
        <v>62</v>
      </c>
    </row>
    <row r="45" spans="1:7" x14ac:dyDescent="0.2">
      <c r="A45">
        <v>4</v>
      </c>
      <c r="B45" s="2" t="s">
        <v>49</v>
      </c>
      <c r="C45">
        <f>QUOTIENT(F23*C44+F25,F24)</f>
        <v>11</v>
      </c>
      <c r="F45" t="s">
        <v>63</v>
      </c>
    </row>
    <row r="46" spans="1:7" x14ac:dyDescent="0.2">
      <c r="A46">
        <v>5</v>
      </c>
      <c r="B46" s="2" t="s">
        <v>50</v>
      </c>
      <c r="C46" s="2">
        <f>QUOTIENT(MOD(F23*C44+F25,F24),F23)</f>
        <v>0</v>
      </c>
      <c r="F46" t="s">
        <v>64</v>
      </c>
    </row>
    <row r="47" spans="1:7" x14ac:dyDescent="0.2">
      <c r="A47">
        <v>6</v>
      </c>
      <c r="B47" s="2" t="s">
        <v>51</v>
      </c>
      <c r="C47">
        <f>C46+1</f>
        <v>1</v>
      </c>
      <c r="D47" s="2"/>
      <c r="F47" t="s">
        <v>65</v>
      </c>
    </row>
    <row r="48" spans="1:7" x14ac:dyDescent="0.2">
      <c r="A48">
        <v>7</v>
      </c>
      <c r="B48" s="2" t="s">
        <v>52</v>
      </c>
      <c r="C48" s="2">
        <f>MOD(C45+C24-1,C25)+1</f>
        <v>2</v>
      </c>
      <c r="D48" s="2"/>
      <c r="F48" t="s">
        <v>66</v>
      </c>
    </row>
    <row r="49" spans="1:6" x14ac:dyDescent="0.2">
      <c r="A49">
        <v>8</v>
      </c>
      <c r="B49" s="2" t="s">
        <v>53</v>
      </c>
      <c r="C49">
        <f>C43-C22+QUOTIENT(C25+C24-1-C48,C25)</f>
        <v>-4715</v>
      </c>
      <c r="F49" t="s">
        <v>67</v>
      </c>
    </row>
  </sheetData>
  <mergeCells count="2">
    <mergeCell ref="L23:O23"/>
    <mergeCell ref="L25:O25"/>
  </mergeCells>
  <phoneticPr fontId="1" type="noConversion"/>
  <pageMargins left="0.75" right="0.75" top="1" bottom="1" header="0.5" footer="0.5"/>
  <pageSetup orientation="portrait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A45A-59CC-4D64-8359-E55BE9BB6244}">
  <dimension ref="A1:J44"/>
  <sheetViews>
    <sheetView tabSelected="1" workbookViewId="0">
      <selection activeCell="H42" sqref="H42:H44"/>
    </sheetView>
  </sheetViews>
  <sheetFormatPr defaultRowHeight="12.75" x14ac:dyDescent="0.2"/>
  <cols>
    <col min="1" max="1" width="10.5703125" bestFit="1" customWidth="1"/>
    <col min="2" max="2" width="9.85546875" bestFit="1" customWidth="1"/>
    <col min="3" max="3" width="9.42578125" bestFit="1" customWidth="1"/>
    <col min="4" max="4" width="19.7109375" bestFit="1" customWidth="1"/>
    <col min="8" max="8" width="14.5703125" customWidth="1"/>
    <col min="9" max="9" width="16.7109375" bestFit="1" customWidth="1"/>
  </cols>
  <sheetData>
    <row r="1" spans="1:9" x14ac:dyDescent="0.2">
      <c r="A1" t="s">
        <v>79</v>
      </c>
      <c r="D1" s="17">
        <v>45894.896527777775</v>
      </c>
      <c r="E1" s="2" t="s">
        <v>80</v>
      </c>
    </row>
    <row r="3" spans="1:9" ht="15" x14ac:dyDescent="0.25">
      <c r="A3" t="s">
        <v>81</v>
      </c>
      <c r="B3" t="s">
        <v>82</v>
      </c>
      <c r="C3" t="s">
        <v>83</v>
      </c>
      <c r="D3" t="s">
        <v>83</v>
      </c>
      <c r="E3" s="20" t="s">
        <v>7</v>
      </c>
      <c r="F3" s="20" t="s">
        <v>8</v>
      </c>
      <c r="G3" s="20" t="s">
        <v>26</v>
      </c>
      <c r="H3" s="2" t="s">
        <v>87</v>
      </c>
      <c r="I3" s="2" t="s">
        <v>89</v>
      </c>
    </row>
    <row r="4" spans="1:9" ht="15" x14ac:dyDescent="0.25">
      <c r="A4" t="s">
        <v>83</v>
      </c>
      <c r="B4" t="s">
        <v>84</v>
      </c>
      <c r="C4" t="s">
        <v>85</v>
      </c>
      <c r="D4" t="s">
        <v>86</v>
      </c>
      <c r="E4" s="20"/>
      <c r="F4" s="20"/>
      <c r="G4" s="20"/>
    </row>
    <row r="5" spans="1:9" ht="15" x14ac:dyDescent="0.25">
      <c r="A5" s="18">
        <v>1507231.5</v>
      </c>
      <c r="B5" s="18">
        <v>-586</v>
      </c>
      <c r="C5" s="18">
        <v>7</v>
      </c>
      <c r="D5" s="18">
        <v>24</v>
      </c>
      <c r="E5" s="20">
        <f t="shared" ref="E5:E37" si="0">IF(C5&lt;=2,B5-1,B5)</f>
        <v>-586</v>
      </c>
      <c r="F5" s="20">
        <f t="shared" ref="F5:F37" si="1">IF(C5&lt;=2,C5+12,C5)</f>
        <v>7</v>
      </c>
      <c r="G5" s="20">
        <f t="shared" ref="G5:G37" si="2">FLOOR(B5/400,1)-FLOOR(B5/100,1)</f>
        <v>4</v>
      </c>
      <c r="H5" s="19">
        <f>FLOOR(365.25*E5,1)+G5+FLOOR(30.6*(F5+1),1)+D5+1720996.5</f>
        <v>1507231.5</v>
      </c>
      <c r="I5" s="18">
        <f t="shared" ref="I5:I37" si="3">A5-H5</f>
        <v>0</v>
      </c>
    </row>
    <row r="6" spans="1:9" ht="15" x14ac:dyDescent="0.25">
      <c r="A6" s="18">
        <v>1660037.5</v>
      </c>
      <c r="B6" s="18">
        <v>-168</v>
      </c>
      <c r="C6" s="18">
        <v>12</v>
      </c>
      <c r="D6" s="18">
        <v>5</v>
      </c>
      <c r="E6" s="20">
        <f t="shared" si="0"/>
        <v>-168</v>
      </c>
      <c r="F6" s="20">
        <f t="shared" si="1"/>
        <v>12</v>
      </c>
      <c r="G6" s="20">
        <f t="shared" si="2"/>
        <v>1</v>
      </c>
      <c r="H6" s="19">
        <f t="shared" ref="H6:H37" si="4">FLOOR(365.25*E6,1)+G6+FLOOR(30.6*(F6+1),1)+D6+1720996.5</f>
        <v>1660037.5</v>
      </c>
      <c r="I6" s="18">
        <f t="shared" si="3"/>
        <v>0</v>
      </c>
    </row>
    <row r="7" spans="1:9" ht="15" x14ac:dyDescent="0.25">
      <c r="A7" s="18">
        <v>1746893.5</v>
      </c>
      <c r="B7" s="18">
        <v>70</v>
      </c>
      <c r="C7" s="18">
        <v>9</v>
      </c>
      <c r="D7" s="18">
        <v>24</v>
      </c>
      <c r="E7" s="20">
        <f t="shared" si="0"/>
        <v>70</v>
      </c>
      <c r="F7" s="20">
        <f t="shared" si="1"/>
        <v>9</v>
      </c>
      <c r="G7" s="20">
        <f t="shared" si="2"/>
        <v>0</v>
      </c>
      <c r="H7" s="19">
        <f t="shared" si="4"/>
        <v>1746893.5</v>
      </c>
      <c r="I7" s="18">
        <f t="shared" si="3"/>
        <v>0</v>
      </c>
    </row>
    <row r="8" spans="1:9" ht="15" x14ac:dyDescent="0.25">
      <c r="A8" s="18">
        <v>1770641.5</v>
      </c>
      <c r="B8" s="18">
        <v>135</v>
      </c>
      <c r="C8" s="18">
        <v>10</v>
      </c>
      <c r="D8" s="18">
        <v>2</v>
      </c>
      <c r="E8" s="20">
        <f t="shared" si="0"/>
        <v>135</v>
      </c>
      <c r="F8" s="20">
        <f t="shared" si="1"/>
        <v>10</v>
      </c>
      <c r="G8" s="20">
        <f t="shared" si="2"/>
        <v>-1</v>
      </c>
      <c r="H8" s="19">
        <f t="shared" si="4"/>
        <v>1770641.5</v>
      </c>
      <c r="I8" s="18">
        <f t="shared" si="3"/>
        <v>0</v>
      </c>
    </row>
    <row r="9" spans="1:9" ht="15" x14ac:dyDescent="0.25">
      <c r="A9" s="18">
        <v>1892731.5</v>
      </c>
      <c r="B9" s="18">
        <v>470</v>
      </c>
      <c r="C9" s="18">
        <v>1</v>
      </c>
      <c r="D9" s="18">
        <v>8</v>
      </c>
      <c r="E9" s="20">
        <f t="shared" si="0"/>
        <v>469</v>
      </c>
      <c r="F9" s="20">
        <f t="shared" si="1"/>
        <v>13</v>
      </c>
      <c r="G9" s="20">
        <f t="shared" si="2"/>
        <v>-3</v>
      </c>
      <c r="H9" s="19">
        <f t="shared" si="4"/>
        <v>1892731.5</v>
      </c>
      <c r="I9" s="18">
        <f t="shared" si="3"/>
        <v>0</v>
      </c>
    </row>
    <row r="10" spans="1:9" ht="15" x14ac:dyDescent="0.25">
      <c r="A10" s="18">
        <v>1931579.5</v>
      </c>
      <c r="B10" s="18">
        <v>576</v>
      </c>
      <c r="C10" s="18">
        <v>5</v>
      </c>
      <c r="D10" s="18">
        <v>20</v>
      </c>
      <c r="E10" s="20">
        <f t="shared" si="0"/>
        <v>576</v>
      </c>
      <c r="F10" s="20">
        <f t="shared" si="1"/>
        <v>5</v>
      </c>
      <c r="G10" s="20">
        <f t="shared" si="2"/>
        <v>-4</v>
      </c>
      <c r="H10" s="19">
        <f t="shared" si="4"/>
        <v>1931579.5</v>
      </c>
      <c r="I10" s="18">
        <f t="shared" si="3"/>
        <v>0</v>
      </c>
    </row>
    <row r="11" spans="1:9" ht="15" x14ac:dyDescent="0.25">
      <c r="A11" s="18">
        <v>1974851.5</v>
      </c>
      <c r="B11" s="18">
        <v>694</v>
      </c>
      <c r="C11" s="18">
        <v>11</v>
      </c>
      <c r="D11" s="18">
        <v>10</v>
      </c>
      <c r="E11" s="20">
        <f t="shared" si="0"/>
        <v>694</v>
      </c>
      <c r="F11" s="20">
        <f t="shared" si="1"/>
        <v>11</v>
      </c>
      <c r="G11" s="20">
        <f t="shared" si="2"/>
        <v>-5</v>
      </c>
      <c r="H11" s="19">
        <f t="shared" si="4"/>
        <v>1974851.5</v>
      </c>
      <c r="I11" s="18">
        <f t="shared" si="3"/>
        <v>0</v>
      </c>
    </row>
    <row r="12" spans="1:9" ht="15" x14ac:dyDescent="0.25">
      <c r="A12" s="18">
        <v>2091164.5</v>
      </c>
      <c r="B12" s="18">
        <v>1013</v>
      </c>
      <c r="C12" s="18">
        <v>4</v>
      </c>
      <c r="D12" s="18">
        <v>25</v>
      </c>
      <c r="E12" s="20">
        <f t="shared" si="0"/>
        <v>1013</v>
      </c>
      <c r="F12" s="20">
        <f t="shared" si="1"/>
        <v>4</v>
      </c>
      <c r="G12" s="20">
        <f t="shared" si="2"/>
        <v>-8</v>
      </c>
      <c r="H12" s="19">
        <f t="shared" si="4"/>
        <v>2091164.5</v>
      </c>
      <c r="I12" s="18">
        <f t="shared" si="3"/>
        <v>0</v>
      </c>
    </row>
    <row r="13" spans="1:9" ht="15" x14ac:dyDescent="0.25">
      <c r="A13" s="18">
        <v>2121509.5</v>
      </c>
      <c r="B13" s="18">
        <v>1096</v>
      </c>
      <c r="C13" s="18">
        <v>5</v>
      </c>
      <c r="D13" s="18">
        <v>24</v>
      </c>
      <c r="E13" s="20">
        <f t="shared" si="0"/>
        <v>1096</v>
      </c>
      <c r="F13" s="20">
        <f t="shared" si="1"/>
        <v>5</v>
      </c>
      <c r="G13" s="20">
        <f t="shared" si="2"/>
        <v>-8</v>
      </c>
      <c r="H13" s="19">
        <f t="shared" si="4"/>
        <v>2121509.5</v>
      </c>
      <c r="I13" s="18">
        <f t="shared" si="3"/>
        <v>0</v>
      </c>
    </row>
    <row r="14" spans="1:9" ht="15" x14ac:dyDescent="0.25">
      <c r="A14" s="18">
        <v>2155779.5</v>
      </c>
      <c r="B14" s="18">
        <v>1190</v>
      </c>
      <c r="C14" s="18">
        <v>3</v>
      </c>
      <c r="D14" s="18">
        <v>23</v>
      </c>
      <c r="E14" s="20">
        <f t="shared" si="0"/>
        <v>1190</v>
      </c>
      <c r="F14" s="20">
        <f t="shared" si="1"/>
        <v>3</v>
      </c>
      <c r="G14" s="20">
        <f t="shared" si="2"/>
        <v>-9</v>
      </c>
      <c r="H14" s="19">
        <f t="shared" si="4"/>
        <v>2155779.5</v>
      </c>
      <c r="I14" s="18">
        <f t="shared" si="3"/>
        <v>0</v>
      </c>
    </row>
    <row r="15" spans="1:9" ht="15" x14ac:dyDescent="0.25">
      <c r="A15" s="18">
        <v>2174029.5</v>
      </c>
      <c r="B15" s="18">
        <v>1240</v>
      </c>
      <c r="C15" s="18">
        <v>3</v>
      </c>
      <c r="D15" s="18">
        <v>10</v>
      </c>
      <c r="E15" s="20">
        <f t="shared" si="0"/>
        <v>1240</v>
      </c>
      <c r="F15" s="20">
        <f t="shared" si="1"/>
        <v>3</v>
      </c>
      <c r="G15" s="20">
        <f t="shared" si="2"/>
        <v>-9</v>
      </c>
      <c r="H15" s="19">
        <f t="shared" si="4"/>
        <v>2174029.5</v>
      </c>
      <c r="I15" s="18">
        <f t="shared" si="3"/>
        <v>0</v>
      </c>
    </row>
    <row r="16" spans="1:9" ht="15" x14ac:dyDescent="0.25">
      <c r="A16" s="18">
        <v>2191584.5</v>
      </c>
      <c r="B16" s="18">
        <v>1288</v>
      </c>
      <c r="C16" s="18">
        <v>4</v>
      </c>
      <c r="D16" s="18">
        <v>2</v>
      </c>
      <c r="E16" s="20">
        <f t="shared" si="0"/>
        <v>1288</v>
      </c>
      <c r="F16" s="20">
        <f t="shared" si="1"/>
        <v>4</v>
      </c>
      <c r="G16" s="20">
        <f t="shared" si="2"/>
        <v>-9</v>
      </c>
      <c r="H16" s="19">
        <f t="shared" si="4"/>
        <v>2191584.5</v>
      </c>
      <c r="I16" s="18">
        <f t="shared" si="3"/>
        <v>0</v>
      </c>
    </row>
    <row r="17" spans="1:9" ht="15" x14ac:dyDescent="0.25">
      <c r="A17" s="18">
        <v>2195261.5</v>
      </c>
      <c r="B17" s="18">
        <v>1298</v>
      </c>
      <c r="C17" s="18">
        <v>4</v>
      </c>
      <c r="D17" s="18">
        <v>27</v>
      </c>
      <c r="E17" s="20">
        <f t="shared" si="0"/>
        <v>1298</v>
      </c>
      <c r="F17" s="20">
        <f t="shared" si="1"/>
        <v>4</v>
      </c>
      <c r="G17" s="20">
        <f t="shared" si="2"/>
        <v>-9</v>
      </c>
      <c r="H17" s="19">
        <f t="shared" si="4"/>
        <v>2195261.5</v>
      </c>
      <c r="I17" s="18">
        <f t="shared" si="3"/>
        <v>0</v>
      </c>
    </row>
    <row r="18" spans="1:9" ht="15" x14ac:dyDescent="0.25">
      <c r="A18" s="18">
        <v>2229274.5</v>
      </c>
      <c r="B18" s="18">
        <v>1391</v>
      </c>
      <c r="C18" s="18">
        <v>6</v>
      </c>
      <c r="D18" s="18">
        <v>12</v>
      </c>
      <c r="E18" s="20">
        <f t="shared" si="0"/>
        <v>1391</v>
      </c>
      <c r="F18" s="20">
        <f t="shared" si="1"/>
        <v>6</v>
      </c>
      <c r="G18" s="20">
        <f t="shared" si="2"/>
        <v>-10</v>
      </c>
      <c r="H18" s="19">
        <f t="shared" si="4"/>
        <v>2229274.5</v>
      </c>
      <c r="I18" s="18">
        <f t="shared" si="3"/>
        <v>0</v>
      </c>
    </row>
    <row r="19" spans="1:9" ht="15" x14ac:dyDescent="0.25">
      <c r="A19" s="18">
        <v>2245580.5</v>
      </c>
      <c r="B19" s="18">
        <v>1436</v>
      </c>
      <c r="C19" s="18">
        <v>2</v>
      </c>
      <c r="D19" s="18">
        <v>3</v>
      </c>
      <c r="E19" s="20">
        <f t="shared" si="0"/>
        <v>1435</v>
      </c>
      <c r="F19" s="20">
        <f t="shared" si="1"/>
        <v>14</v>
      </c>
      <c r="G19" s="20">
        <f t="shared" si="2"/>
        <v>-11</v>
      </c>
      <c r="H19" s="19">
        <f t="shared" si="4"/>
        <v>2245580.5</v>
      </c>
      <c r="I19" s="18">
        <f t="shared" si="3"/>
        <v>0</v>
      </c>
    </row>
    <row r="20" spans="1:9" ht="15" x14ac:dyDescent="0.25">
      <c r="A20" s="18">
        <v>2266100.5</v>
      </c>
      <c r="B20" s="18">
        <v>1492</v>
      </c>
      <c r="C20" s="18">
        <v>4</v>
      </c>
      <c r="D20" s="18">
        <v>9</v>
      </c>
      <c r="E20" s="20">
        <f t="shared" si="0"/>
        <v>1492</v>
      </c>
      <c r="F20" s="20">
        <f t="shared" si="1"/>
        <v>4</v>
      </c>
      <c r="G20" s="20">
        <f t="shared" si="2"/>
        <v>-11</v>
      </c>
      <c r="H20" s="19">
        <f t="shared" si="4"/>
        <v>2266100.5</v>
      </c>
      <c r="I20" s="18">
        <f t="shared" si="3"/>
        <v>0</v>
      </c>
    </row>
    <row r="21" spans="1:9" ht="15" x14ac:dyDescent="0.25">
      <c r="A21" s="18">
        <v>2288542.5</v>
      </c>
      <c r="B21" s="18">
        <v>1553</v>
      </c>
      <c r="C21" s="18">
        <v>9</v>
      </c>
      <c r="D21" s="18">
        <v>19</v>
      </c>
      <c r="E21" s="20">
        <f t="shared" si="0"/>
        <v>1553</v>
      </c>
      <c r="F21" s="20">
        <f t="shared" si="1"/>
        <v>9</v>
      </c>
      <c r="G21" s="20">
        <f t="shared" si="2"/>
        <v>-12</v>
      </c>
      <c r="H21" s="19">
        <f t="shared" si="4"/>
        <v>2288542.5</v>
      </c>
      <c r="I21" s="18">
        <f t="shared" si="3"/>
        <v>0</v>
      </c>
    </row>
    <row r="22" spans="1:9" ht="15" x14ac:dyDescent="0.25">
      <c r="A22" s="18">
        <v>2290901.5</v>
      </c>
      <c r="B22" s="18">
        <v>1560</v>
      </c>
      <c r="C22" s="18">
        <v>3</v>
      </c>
      <c r="D22" s="18">
        <v>5</v>
      </c>
      <c r="E22" s="20">
        <f t="shared" si="0"/>
        <v>1560</v>
      </c>
      <c r="F22" s="20">
        <f t="shared" si="1"/>
        <v>3</v>
      </c>
      <c r="G22" s="20">
        <f t="shared" si="2"/>
        <v>-12</v>
      </c>
      <c r="H22" s="19">
        <f t="shared" si="4"/>
        <v>2290901.5</v>
      </c>
      <c r="I22" s="18">
        <f t="shared" si="3"/>
        <v>0</v>
      </c>
    </row>
    <row r="23" spans="1:9" ht="15" x14ac:dyDescent="0.25">
      <c r="A23" s="18">
        <v>2323140.5</v>
      </c>
      <c r="B23" s="18">
        <v>1648</v>
      </c>
      <c r="C23" s="18">
        <v>6</v>
      </c>
      <c r="D23" s="18">
        <v>10</v>
      </c>
      <c r="E23" s="20">
        <f t="shared" si="0"/>
        <v>1648</v>
      </c>
      <c r="F23" s="20">
        <f t="shared" si="1"/>
        <v>6</v>
      </c>
      <c r="G23" s="20">
        <f t="shared" si="2"/>
        <v>-12</v>
      </c>
      <c r="H23" s="19">
        <f t="shared" si="4"/>
        <v>2323140.5</v>
      </c>
      <c r="I23" s="18">
        <f t="shared" si="3"/>
        <v>0</v>
      </c>
    </row>
    <row r="24" spans="1:9" ht="15" x14ac:dyDescent="0.25">
      <c r="A24" s="18">
        <v>2334848.5</v>
      </c>
      <c r="B24" s="18">
        <v>1680</v>
      </c>
      <c r="C24" s="18">
        <v>6</v>
      </c>
      <c r="D24" s="18">
        <v>30</v>
      </c>
      <c r="E24" s="20">
        <f t="shared" si="0"/>
        <v>1680</v>
      </c>
      <c r="F24" s="20">
        <f t="shared" si="1"/>
        <v>6</v>
      </c>
      <c r="G24" s="20">
        <f t="shared" si="2"/>
        <v>-12</v>
      </c>
      <c r="H24" s="19">
        <f t="shared" si="4"/>
        <v>2334848.5</v>
      </c>
      <c r="I24" s="18">
        <f t="shared" si="3"/>
        <v>0</v>
      </c>
    </row>
    <row r="25" spans="1:9" ht="15" x14ac:dyDescent="0.25">
      <c r="A25" s="18">
        <v>2348020.5</v>
      </c>
      <c r="B25" s="18">
        <v>1716</v>
      </c>
      <c r="C25" s="18">
        <v>7</v>
      </c>
      <c r="D25" s="18">
        <v>24</v>
      </c>
      <c r="E25" s="20">
        <f t="shared" si="0"/>
        <v>1716</v>
      </c>
      <c r="F25" s="20">
        <f t="shared" si="1"/>
        <v>7</v>
      </c>
      <c r="G25" s="20">
        <f t="shared" si="2"/>
        <v>-13</v>
      </c>
      <c r="H25" s="19">
        <f t="shared" si="4"/>
        <v>2348020.5</v>
      </c>
      <c r="I25" s="18">
        <f t="shared" si="3"/>
        <v>0</v>
      </c>
    </row>
    <row r="26" spans="1:9" ht="15" x14ac:dyDescent="0.25">
      <c r="A26" s="18">
        <v>2366978.5</v>
      </c>
      <c r="B26" s="18">
        <v>1768</v>
      </c>
      <c r="C26" s="18">
        <v>6</v>
      </c>
      <c r="D26" s="18">
        <v>19</v>
      </c>
      <c r="E26" s="20">
        <f t="shared" si="0"/>
        <v>1768</v>
      </c>
      <c r="F26" s="20">
        <f t="shared" si="1"/>
        <v>6</v>
      </c>
      <c r="G26" s="20">
        <f t="shared" si="2"/>
        <v>-13</v>
      </c>
      <c r="H26" s="19">
        <f t="shared" si="4"/>
        <v>2366978.5</v>
      </c>
      <c r="I26" s="18">
        <f t="shared" si="3"/>
        <v>0</v>
      </c>
    </row>
    <row r="27" spans="1:9" ht="15" x14ac:dyDescent="0.25">
      <c r="A27" s="18">
        <v>2385648.5</v>
      </c>
      <c r="B27" s="18">
        <v>1819</v>
      </c>
      <c r="C27" s="18">
        <v>8</v>
      </c>
      <c r="D27" s="18">
        <v>2</v>
      </c>
      <c r="E27" s="20">
        <f t="shared" si="0"/>
        <v>1819</v>
      </c>
      <c r="F27" s="20">
        <f t="shared" si="1"/>
        <v>8</v>
      </c>
      <c r="G27" s="20">
        <f t="shared" si="2"/>
        <v>-14</v>
      </c>
      <c r="H27" s="19">
        <f t="shared" si="4"/>
        <v>2385648.5</v>
      </c>
      <c r="I27" s="18">
        <f t="shared" si="3"/>
        <v>0</v>
      </c>
    </row>
    <row r="28" spans="1:9" ht="15" x14ac:dyDescent="0.25">
      <c r="A28" s="18">
        <v>2392825.5</v>
      </c>
      <c r="B28" s="18">
        <v>1839</v>
      </c>
      <c r="C28" s="18">
        <v>3</v>
      </c>
      <c r="D28" s="18">
        <v>27</v>
      </c>
      <c r="E28" s="20">
        <f t="shared" si="0"/>
        <v>1839</v>
      </c>
      <c r="F28" s="20">
        <f t="shared" si="1"/>
        <v>3</v>
      </c>
      <c r="G28" s="20">
        <f t="shared" si="2"/>
        <v>-14</v>
      </c>
      <c r="H28" s="19">
        <f t="shared" si="4"/>
        <v>2392825.5</v>
      </c>
      <c r="I28" s="18">
        <f t="shared" si="3"/>
        <v>0</v>
      </c>
    </row>
    <row r="29" spans="1:9" ht="15" x14ac:dyDescent="0.25">
      <c r="A29" s="18">
        <v>2416223.5</v>
      </c>
      <c r="B29" s="18">
        <v>1903</v>
      </c>
      <c r="C29" s="18">
        <v>4</v>
      </c>
      <c r="D29" s="18">
        <v>19</v>
      </c>
      <c r="E29" s="20">
        <f t="shared" si="0"/>
        <v>1903</v>
      </c>
      <c r="F29" s="20">
        <f t="shared" si="1"/>
        <v>4</v>
      </c>
      <c r="G29" s="20">
        <f t="shared" si="2"/>
        <v>-15</v>
      </c>
      <c r="H29" s="19">
        <f t="shared" si="4"/>
        <v>2416223.5</v>
      </c>
      <c r="I29" s="18">
        <f t="shared" si="3"/>
        <v>0</v>
      </c>
    </row>
    <row r="30" spans="1:9" ht="15" x14ac:dyDescent="0.25">
      <c r="A30" s="18">
        <v>2425848.5</v>
      </c>
      <c r="B30" s="18">
        <v>1929</v>
      </c>
      <c r="C30" s="18">
        <v>8</v>
      </c>
      <c r="D30" s="18">
        <v>25</v>
      </c>
      <c r="E30" s="20">
        <f t="shared" si="0"/>
        <v>1929</v>
      </c>
      <c r="F30" s="20">
        <f t="shared" si="1"/>
        <v>8</v>
      </c>
      <c r="G30" s="20">
        <f t="shared" si="2"/>
        <v>-15</v>
      </c>
      <c r="H30" s="19">
        <f t="shared" si="4"/>
        <v>2425848.5</v>
      </c>
      <c r="I30" s="18">
        <f t="shared" si="3"/>
        <v>0</v>
      </c>
    </row>
    <row r="31" spans="1:9" ht="15" x14ac:dyDescent="0.25">
      <c r="A31" s="18">
        <v>2430266.5</v>
      </c>
      <c r="B31" s="18">
        <v>1941</v>
      </c>
      <c r="C31" s="18">
        <v>9</v>
      </c>
      <c r="D31" s="18">
        <v>29</v>
      </c>
      <c r="E31" s="20">
        <f t="shared" si="0"/>
        <v>1941</v>
      </c>
      <c r="F31" s="20">
        <f t="shared" si="1"/>
        <v>9</v>
      </c>
      <c r="G31" s="20">
        <f t="shared" si="2"/>
        <v>-15</v>
      </c>
      <c r="H31" s="19">
        <f t="shared" si="4"/>
        <v>2430266.5</v>
      </c>
      <c r="I31" s="18">
        <f t="shared" si="3"/>
        <v>0</v>
      </c>
    </row>
    <row r="32" spans="1:9" ht="15" x14ac:dyDescent="0.25">
      <c r="A32" s="18">
        <v>2430833.5</v>
      </c>
      <c r="B32" s="18">
        <v>1943</v>
      </c>
      <c r="C32" s="18">
        <v>4</v>
      </c>
      <c r="D32" s="18">
        <v>19</v>
      </c>
      <c r="E32" s="20">
        <f t="shared" si="0"/>
        <v>1943</v>
      </c>
      <c r="F32" s="20">
        <f t="shared" si="1"/>
        <v>4</v>
      </c>
      <c r="G32" s="20">
        <f t="shared" si="2"/>
        <v>-15</v>
      </c>
      <c r="H32" s="19">
        <f t="shared" si="4"/>
        <v>2430833.5</v>
      </c>
      <c r="I32" s="18">
        <f t="shared" si="3"/>
        <v>0</v>
      </c>
    </row>
    <row r="33" spans="1:10" ht="15" x14ac:dyDescent="0.25">
      <c r="A33" s="18">
        <v>2431004.5</v>
      </c>
      <c r="B33" s="18">
        <v>1943</v>
      </c>
      <c r="C33" s="18">
        <v>10</v>
      </c>
      <c r="D33" s="18">
        <v>7</v>
      </c>
      <c r="E33" s="20">
        <f t="shared" si="0"/>
        <v>1943</v>
      </c>
      <c r="F33" s="20">
        <f t="shared" si="1"/>
        <v>10</v>
      </c>
      <c r="G33" s="20">
        <f t="shared" si="2"/>
        <v>-15</v>
      </c>
      <c r="H33" s="19">
        <f t="shared" si="4"/>
        <v>2431004.5</v>
      </c>
      <c r="I33" s="18">
        <f t="shared" si="3"/>
        <v>0</v>
      </c>
    </row>
    <row r="34" spans="1:10" ht="15" x14ac:dyDescent="0.25">
      <c r="A34" s="18">
        <v>2448698.5</v>
      </c>
      <c r="B34" s="18">
        <v>1992</v>
      </c>
      <c r="C34" s="18">
        <v>3</v>
      </c>
      <c r="D34" s="18">
        <v>17</v>
      </c>
      <c r="E34" s="20">
        <f t="shared" si="0"/>
        <v>1992</v>
      </c>
      <c r="F34" s="20">
        <f t="shared" si="1"/>
        <v>3</v>
      </c>
      <c r="G34" s="20">
        <f t="shared" si="2"/>
        <v>-15</v>
      </c>
      <c r="H34" s="19">
        <f t="shared" si="4"/>
        <v>2448698.5</v>
      </c>
      <c r="I34" s="18">
        <f t="shared" si="3"/>
        <v>0</v>
      </c>
    </row>
    <row r="35" spans="1:10" ht="15" x14ac:dyDescent="0.25">
      <c r="A35" s="21">
        <v>2450138.5</v>
      </c>
      <c r="B35" s="21">
        <v>1996</v>
      </c>
      <c r="C35" s="21">
        <v>2</v>
      </c>
      <c r="D35" s="21">
        <v>25</v>
      </c>
      <c r="E35" s="22">
        <f t="shared" si="0"/>
        <v>1995</v>
      </c>
      <c r="F35" s="22">
        <f t="shared" si="1"/>
        <v>14</v>
      </c>
      <c r="G35" s="22">
        <f t="shared" si="2"/>
        <v>-15</v>
      </c>
      <c r="H35" s="19">
        <f t="shared" si="4"/>
        <v>2450138.5</v>
      </c>
      <c r="I35" s="21">
        <f t="shared" si="3"/>
        <v>0</v>
      </c>
    </row>
    <row r="36" spans="1:10" ht="15" x14ac:dyDescent="0.25">
      <c r="A36" s="18">
        <v>2465737.5</v>
      </c>
      <c r="B36" s="18">
        <v>2038</v>
      </c>
      <c r="C36" s="18">
        <v>11</v>
      </c>
      <c r="D36" s="18">
        <v>10</v>
      </c>
      <c r="E36" s="20">
        <f t="shared" si="0"/>
        <v>2038</v>
      </c>
      <c r="F36" s="20">
        <f t="shared" si="1"/>
        <v>11</v>
      </c>
      <c r="G36" s="20">
        <f t="shared" si="2"/>
        <v>-15</v>
      </c>
      <c r="H36" s="19">
        <f t="shared" si="4"/>
        <v>2465737.5</v>
      </c>
      <c r="I36" s="18">
        <f t="shared" si="3"/>
        <v>0</v>
      </c>
    </row>
    <row r="37" spans="1:10" ht="15" x14ac:dyDescent="0.25">
      <c r="A37" s="18">
        <v>2486076.5</v>
      </c>
      <c r="B37" s="18">
        <v>2094</v>
      </c>
      <c r="C37" s="18">
        <v>7</v>
      </c>
      <c r="D37" s="18">
        <v>18</v>
      </c>
      <c r="E37" s="20">
        <f t="shared" si="0"/>
        <v>2094</v>
      </c>
      <c r="F37" s="20">
        <f t="shared" si="1"/>
        <v>7</v>
      </c>
      <c r="G37" s="20">
        <f t="shared" si="2"/>
        <v>-15</v>
      </c>
      <c r="H37" s="19">
        <f t="shared" si="4"/>
        <v>2486076.5</v>
      </c>
      <c r="I37" s="18">
        <f t="shared" si="3"/>
        <v>0</v>
      </c>
    </row>
    <row r="39" spans="1:10" x14ac:dyDescent="0.2">
      <c r="A39" t="s">
        <v>88</v>
      </c>
    </row>
    <row r="41" spans="1:10" x14ac:dyDescent="0.2">
      <c r="A41" t="s">
        <v>90</v>
      </c>
      <c r="J41" t="s">
        <v>91</v>
      </c>
    </row>
    <row r="42" spans="1:10" ht="15" x14ac:dyDescent="0.25">
      <c r="A42" s="18">
        <v>0</v>
      </c>
      <c r="B42">
        <v>-4713</v>
      </c>
      <c r="C42">
        <v>11</v>
      </c>
      <c r="D42">
        <v>24.5</v>
      </c>
      <c r="E42" s="20">
        <f>IF(C42&lt;=2,B42-1,B42)</f>
        <v>-4713</v>
      </c>
      <c r="F42" s="20">
        <f>IF(C42&lt;=2,C42+12,C42)</f>
        <v>11</v>
      </c>
      <c r="G42" s="20">
        <f>FLOOR(B42/400,1)-FLOOR(B42/100,1)</f>
        <v>36</v>
      </c>
      <c r="H42" s="19">
        <f t="shared" ref="H42:H44" si="5">FLOOR(365.25*E42,1)+G42+FLOOR(30.6*(F42+1),1)+D42+1720996.5</f>
        <v>0</v>
      </c>
      <c r="I42" s="18">
        <f>A42-H42</f>
        <v>0</v>
      </c>
      <c r="J42">
        <v>18</v>
      </c>
    </row>
    <row r="43" spans="1:10" ht="15" x14ac:dyDescent="0.25">
      <c r="A43">
        <v>146097</v>
      </c>
      <c r="B43">
        <v>-4313</v>
      </c>
      <c r="C43">
        <v>11</v>
      </c>
      <c r="D43">
        <v>24.5</v>
      </c>
      <c r="E43" s="20">
        <f>IF(C43&lt;=2,B43-1,B43)</f>
        <v>-4313</v>
      </c>
      <c r="F43" s="20">
        <f>IF(C43&lt;=2,C43+12,C43)</f>
        <v>11</v>
      </c>
      <c r="G43" s="20">
        <f>FLOOR(B43/400,1)-FLOOR(B43/100,1)</f>
        <v>33</v>
      </c>
      <c r="H43" s="19">
        <f t="shared" si="5"/>
        <v>146097</v>
      </c>
      <c r="I43" s="18">
        <f>A43-H43</f>
        <v>0</v>
      </c>
    </row>
    <row r="44" spans="1:10" ht="15" x14ac:dyDescent="0.25">
      <c r="A44">
        <v>-1460970</v>
      </c>
      <c r="B44">
        <v>-8713</v>
      </c>
      <c r="C44">
        <v>11</v>
      </c>
      <c r="D44">
        <v>24.5</v>
      </c>
      <c r="E44" s="20">
        <f>IF(C44&lt;=2,B44-1,B44)</f>
        <v>-8713</v>
      </c>
      <c r="F44" s="20">
        <f>IF(C44&lt;=2,C44+12,C44)</f>
        <v>11</v>
      </c>
      <c r="G44" s="20">
        <f>FLOOR(B44/400,1)-FLOOR(B44/100,1)</f>
        <v>66</v>
      </c>
      <c r="H44" s="19">
        <f t="shared" si="5"/>
        <v>-1460970</v>
      </c>
      <c r="I44" s="18">
        <f>A44-H44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2B9D-99F5-42BE-AF6F-FA4D9F47A476}">
  <dimension ref="A1:E6"/>
  <sheetViews>
    <sheetView workbookViewId="0">
      <selection activeCell="E6" sqref="E6"/>
    </sheetView>
  </sheetViews>
  <sheetFormatPr defaultRowHeight="12.75" x14ac:dyDescent="0.2"/>
  <cols>
    <col min="3" max="3" width="20.85546875" customWidth="1"/>
    <col min="5" max="5" width="11.28515625" bestFit="1" customWidth="1"/>
  </cols>
  <sheetData>
    <row r="1" spans="1:5" x14ac:dyDescent="0.2">
      <c r="A1" t="s">
        <v>92</v>
      </c>
    </row>
    <row r="3" spans="1:5" x14ac:dyDescent="0.2">
      <c r="A3" t="s">
        <v>93</v>
      </c>
    </row>
    <row r="4" spans="1:5" x14ac:dyDescent="0.2">
      <c r="A4">
        <v>400</v>
      </c>
      <c r="B4" s="4" t="s">
        <v>94</v>
      </c>
      <c r="C4">
        <v>365</v>
      </c>
      <c r="D4" s="4" t="s">
        <v>2</v>
      </c>
      <c r="E4" s="23">
        <f>400*366</f>
        <v>146400</v>
      </c>
    </row>
    <row r="5" spans="1:5" x14ac:dyDescent="0.2">
      <c r="A5" t="s">
        <v>95</v>
      </c>
      <c r="B5">
        <v>100</v>
      </c>
      <c r="C5" t="s">
        <v>96</v>
      </c>
      <c r="E5" s="23">
        <f>E4+B5</f>
        <v>146500</v>
      </c>
    </row>
    <row r="6" spans="1:5" x14ac:dyDescent="0.2">
      <c r="A6" t="s">
        <v>97</v>
      </c>
      <c r="B6">
        <v>3</v>
      </c>
      <c r="C6" t="s">
        <v>98</v>
      </c>
      <c r="E6" s="23">
        <f>E5-3</f>
        <v>146497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"/>
    </sheetView>
  </sheetViews>
  <sheetFormatPr defaultRowHeight="12.75" x14ac:dyDescent="0.2"/>
  <cols>
    <col min="1" max="1" width="14.28515625" bestFit="1" customWidth="1"/>
    <col min="2" max="2" width="8.7109375" bestFit="1" customWidth="1"/>
  </cols>
  <sheetData>
    <row r="1" spans="1:2" ht="20.25" thickBot="1" x14ac:dyDescent="0.35">
      <c r="A1" s="5" t="s">
        <v>72</v>
      </c>
      <c r="B1" s="5" t="s">
        <v>73</v>
      </c>
    </row>
    <row r="2" spans="1:2" ht="13.5" thickTop="1" x14ac:dyDescent="0.2">
      <c r="A2" s="4" t="s">
        <v>74</v>
      </c>
      <c r="B2">
        <f>MOD(-2, 7)</f>
        <v>5</v>
      </c>
    </row>
    <row r="4" spans="1:2" x14ac:dyDescent="0.2">
      <c r="A4" t="s">
        <v>75</v>
      </c>
    </row>
    <row r="6" spans="1:2" x14ac:dyDescent="0.2">
      <c r="A6" t="s">
        <v>76</v>
      </c>
    </row>
    <row r="7" spans="1:2" x14ac:dyDescent="0.2">
      <c r="A7" t="s">
        <v>77</v>
      </c>
    </row>
    <row r="8" spans="1:2" x14ac:dyDescent="0.2">
      <c r="A8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formula comparison</vt:lpstr>
      <vt:lpstr>Montenbruck</vt:lpstr>
      <vt:lpstr>Known Periods</vt:lpstr>
      <vt:lpstr>Modulo behavior</vt:lpstr>
      <vt:lpstr>a</vt:lpstr>
      <vt:lpstr>b</vt:lpstr>
      <vt:lpstr>hh</vt:lpstr>
      <vt:lpstr>littleu</vt:lpstr>
      <vt:lpstr>m</vt:lpstr>
      <vt:lpstr>mm</vt:lpstr>
      <vt:lpstr>ss</vt:lpstr>
      <vt:lpstr>U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2025-08-26T18:45:47Z</dcterms:created>
  <dcterms:modified xsi:type="dcterms:W3CDTF">2025-08-27T12:38:12Z</dcterms:modified>
</cp:coreProperties>
</file>