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hidePivotFieldList="1" defaultThemeVersion="166925"/>
  <mc:AlternateContent xmlns:mc="http://schemas.openxmlformats.org/markup-compatibility/2006">
    <mc:Choice Requires="x15">
      <x15ac:absPath xmlns:x15ac="http://schemas.microsoft.com/office/spreadsheetml/2010/11/ac" url="C:\Users\Jc Maravilla\Desktop\"/>
    </mc:Choice>
  </mc:AlternateContent>
  <xr:revisionPtr revIDLastSave="0" documentId="13_ncr:1_{482E2709-EFF0-4801-991E-750423F2E356}" xr6:coauthVersionLast="47" xr6:coauthVersionMax="47" xr10:uidLastSave="{00000000-0000-0000-0000-000000000000}"/>
  <bookViews>
    <workbookView xWindow="-120" yWindow="-120" windowWidth="29040" windowHeight="15840" activeTab="6" xr2:uid="{B98E4FF1-4420-494A-810E-7F7638266BD3}"/>
  </bookViews>
  <sheets>
    <sheet name="Admin Interface" sheetId="4" r:id="rId1"/>
    <sheet name="User Details" sheetId="1" r:id="rId2"/>
    <sheet name="Payout Details" sheetId="7" r:id="rId3"/>
    <sheet name="Transactions" sheetId="2" r:id="rId4"/>
    <sheet name="User Performance" sheetId="10" r:id="rId5"/>
    <sheet name="Pivot Tables" sheetId="8" r:id="rId6"/>
    <sheet name="Tables" sheetId="12" r:id="rId7"/>
    <sheet name="ⓘ About" sheetId="11" r:id="rId8"/>
  </sheets>
  <definedNames>
    <definedName name="_xlnm._FilterDatabase" localSheetId="3" hidden="1">Transactions!$A$1:$A$301</definedName>
    <definedName name="_xlnm._FilterDatabase" localSheetId="1" hidden="1">'User Details'!$G$1:$G$51</definedName>
    <definedName name="Slicer_Quarters">#N/A</definedName>
    <definedName name="Slicer_Years">#N/A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63" i="4" l="1"/>
  <c r="X62" i="4"/>
  <c r="F18" i="4" a="1"/>
  <c r="F18" i="4" s="1"/>
  <c r="D18" i="4" a="1"/>
  <c r="D18" i="4" s="1"/>
  <c r="R15" i="2"/>
  <c r="R14" i="2"/>
  <c r="O3" i="4" a="1"/>
  <c r="O3" i="4" s="1"/>
  <c r="P3" i="4" s="1" a="1"/>
  <c r="P3" i="4" s="1"/>
  <c r="N3" i="4" a="1"/>
  <c r="N3" i="4" s="1"/>
  <c r="E22" i="1"/>
  <c r="G2" i="10" a="1"/>
  <c r="G2" i="10" s="1"/>
  <c r="G3" i="10" a="1"/>
  <c r="G3" i="10" s="1"/>
  <c r="G4" i="10" a="1"/>
  <c r="G4" i="10" s="1"/>
  <c r="G5" i="10" a="1"/>
  <c r="G5" i="10" s="1"/>
  <c r="G6" i="10" a="1"/>
  <c r="G6" i="10" s="1"/>
  <c r="G7" i="10" a="1"/>
  <c r="G7" i="10" s="1"/>
  <c r="G8" i="10" a="1"/>
  <c r="G8" i="10" s="1"/>
  <c r="G9" i="10" a="1"/>
  <c r="G9" i="10" s="1"/>
  <c r="G10" i="10" a="1"/>
  <c r="G10" i="10" s="1"/>
  <c r="G11" i="10" a="1"/>
  <c r="G11" i="10" s="1"/>
  <c r="G12" i="10" a="1"/>
  <c r="G12" i="10" s="1"/>
  <c r="G13" i="10" a="1"/>
  <c r="G13" i="10" s="1"/>
  <c r="G14" i="10" a="1"/>
  <c r="G14" i="10" s="1"/>
  <c r="G15" i="10" a="1"/>
  <c r="G15" i="10" s="1"/>
  <c r="G16" i="10" a="1"/>
  <c r="G16" i="10" s="1"/>
  <c r="G17" i="10" a="1"/>
  <c r="G17" i="10" s="1"/>
  <c r="G18" i="10" a="1"/>
  <c r="G18" i="10" s="1"/>
  <c r="G19" i="10" a="1"/>
  <c r="G19" i="10" s="1"/>
  <c r="G20" i="10" a="1"/>
  <c r="G20" i="10" s="1"/>
  <c r="G21" i="10" a="1"/>
  <c r="G21" i="10" s="1"/>
  <c r="G22" i="10" a="1"/>
  <c r="G22" i="10" s="1"/>
  <c r="G23" i="10" a="1"/>
  <c r="G23" i="10" s="1"/>
  <c r="G24" i="10" a="1"/>
  <c r="G24" i="10" s="1"/>
  <c r="G25" i="10" a="1"/>
  <c r="G25" i="10" s="1"/>
  <c r="G26" i="10" a="1"/>
  <c r="G26" i="10" s="1"/>
  <c r="G27" i="10" a="1"/>
  <c r="G27" i="10" s="1"/>
  <c r="G28" i="10" a="1"/>
  <c r="G28" i="10" s="1"/>
  <c r="G29" i="10" a="1"/>
  <c r="G29" i="10" s="1"/>
  <c r="G30" i="10" a="1"/>
  <c r="G30" i="10" s="1"/>
  <c r="G31" i="10" a="1"/>
  <c r="G31" i="10" s="1"/>
  <c r="G32" i="10" a="1"/>
  <c r="G32" i="10" s="1"/>
  <c r="G33" i="10" a="1"/>
  <c r="G33" i="10" s="1"/>
  <c r="G34" i="10" a="1"/>
  <c r="G34" i="10" s="1"/>
  <c r="G35" i="10" a="1"/>
  <c r="G35" i="10" s="1"/>
  <c r="G36" i="10" a="1"/>
  <c r="G36" i="10" s="1"/>
  <c r="G37" i="10" a="1"/>
  <c r="G37" i="10" s="1"/>
  <c r="G38" i="10" a="1"/>
  <c r="G38" i="10" s="1"/>
  <c r="G39" i="10" a="1"/>
  <c r="G39" i="10" s="1"/>
  <c r="G40" i="10" a="1"/>
  <c r="G40" i="10" s="1"/>
  <c r="G41" i="10" a="1"/>
  <c r="G41" i="10" s="1"/>
  <c r="G42" i="10" a="1"/>
  <c r="G42" i="10" s="1"/>
  <c r="G43" i="10" a="1"/>
  <c r="G43" i="10" s="1"/>
  <c r="G44" i="10" a="1"/>
  <c r="G44" i="10" s="1"/>
  <c r="G45" i="10" a="1"/>
  <c r="G45" i="10" s="1"/>
  <c r="G46" i="10" a="1"/>
  <c r="G46" i="10" s="1"/>
  <c r="G47" i="10" a="1"/>
  <c r="G47" i="10" s="1"/>
  <c r="G48" i="10" a="1"/>
  <c r="G48" i="10" s="1"/>
  <c r="G49" i="10" a="1"/>
  <c r="G49" i="10" s="1"/>
  <c r="G50" i="10" a="1"/>
  <c r="G50" i="10" s="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6" i="2"/>
  <c r="A287" i="2"/>
  <c r="A288" i="2"/>
  <c r="A289" i="2"/>
  <c r="A290" i="2"/>
  <c r="A291" i="2"/>
  <c r="A292" i="2"/>
  <c r="A293" i="2"/>
  <c r="A294" i="2"/>
  <c r="A295" i="2"/>
  <c r="A296" i="2"/>
  <c r="A297" i="2"/>
  <c r="A298" i="2"/>
  <c r="A299" i="2"/>
  <c r="A300" i="2"/>
  <c r="A301" i="2"/>
  <c r="A2" i="2"/>
  <c r="E302" i="2"/>
  <c r="X57" i="4" s="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V29" i="4"/>
  <c r="D6" i="4"/>
  <c r="I14" i="4"/>
  <c r="C227" i="2"/>
  <c r="C228" i="2"/>
  <c r="J228" i="2"/>
  <c r="M228" i="2" s="1"/>
  <c r="L228" i="2"/>
  <c r="O228" i="2" s="1"/>
  <c r="C229" i="2"/>
  <c r="J229" i="2"/>
  <c r="M229" i="2" s="1"/>
  <c r="L229" i="2"/>
  <c r="O229" i="2" s="1"/>
  <c r="C230" i="2"/>
  <c r="J230" i="2"/>
  <c r="M230" i="2" s="1"/>
  <c r="L230" i="2"/>
  <c r="K230" i="2" s="1"/>
  <c r="N230" i="2" s="1"/>
  <c r="C231" i="2"/>
  <c r="J231" i="2"/>
  <c r="M231" i="2" s="1"/>
  <c r="L231" i="2"/>
  <c r="O231" i="2" s="1"/>
  <c r="C232" i="2"/>
  <c r="J232" i="2"/>
  <c r="M232" i="2" s="1"/>
  <c r="L232" i="2"/>
  <c r="C233" i="2"/>
  <c r="J233" i="2"/>
  <c r="M233" i="2" s="1"/>
  <c r="L233" i="2"/>
  <c r="C234" i="2"/>
  <c r="J234" i="2"/>
  <c r="M234" i="2" s="1"/>
  <c r="L234" i="2"/>
  <c r="O234" i="2" s="1"/>
  <c r="C235" i="2"/>
  <c r="J235" i="2"/>
  <c r="M235" i="2" s="1"/>
  <c r="L235" i="2"/>
  <c r="O235" i="2" s="1"/>
  <c r="C236" i="2"/>
  <c r="J236" i="2"/>
  <c r="M236" i="2" s="1"/>
  <c r="L236" i="2"/>
  <c r="O236" i="2" s="1"/>
  <c r="C237" i="2"/>
  <c r="J237" i="2"/>
  <c r="M237" i="2" s="1"/>
  <c r="L237" i="2"/>
  <c r="C238" i="2"/>
  <c r="J238" i="2"/>
  <c r="L238" i="2"/>
  <c r="O238" i="2" s="1"/>
  <c r="C239" i="2"/>
  <c r="J239" i="2"/>
  <c r="M239" i="2" s="1"/>
  <c r="L239" i="2"/>
  <c r="O239" i="2" s="1"/>
  <c r="C240" i="2"/>
  <c r="J240" i="2"/>
  <c r="M240" i="2" s="1"/>
  <c r="L240" i="2"/>
  <c r="O240" i="2" s="1"/>
  <c r="C241" i="2"/>
  <c r="J241" i="2"/>
  <c r="M241" i="2" s="1"/>
  <c r="L241" i="2"/>
  <c r="O241" i="2" s="1"/>
  <c r="C242" i="2"/>
  <c r="J242" i="2"/>
  <c r="M242" i="2" s="1"/>
  <c r="L242" i="2"/>
  <c r="O242" i="2" s="1"/>
  <c r="C243" i="2"/>
  <c r="J243" i="2"/>
  <c r="M243" i="2" s="1"/>
  <c r="L243" i="2"/>
  <c r="O243" i="2" s="1"/>
  <c r="C244" i="2"/>
  <c r="J244" i="2"/>
  <c r="M244" i="2" s="1"/>
  <c r="L244" i="2"/>
  <c r="O244" i="2" s="1"/>
  <c r="C245" i="2"/>
  <c r="J245" i="2"/>
  <c r="M245" i="2" s="1"/>
  <c r="L245" i="2"/>
  <c r="C246" i="2"/>
  <c r="J246" i="2"/>
  <c r="M246" i="2" s="1"/>
  <c r="L246" i="2"/>
  <c r="O246" i="2" s="1"/>
  <c r="C247" i="2"/>
  <c r="J247" i="2"/>
  <c r="M247" i="2" s="1"/>
  <c r="L247" i="2"/>
  <c r="C248" i="2"/>
  <c r="J248" i="2"/>
  <c r="M248" i="2" s="1"/>
  <c r="L248" i="2"/>
  <c r="O248" i="2" s="1"/>
  <c r="C249" i="2"/>
  <c r="J249" i="2"/>
  <c r="M249" i="2" s="1"/>
  <c r="L249" i="2"/>
  <c r="C250" i="2"/>
  <c r="J250" i="2"/>
  <c r="L250" i="2"/>
  <c r="O250" i="2" s="1"/>
  <c r="C251" i="2"/>
  <c r="J251" i="2"/>
  <c r="M251" i="2" s="1"/>
  <c r="L251" i="2"/>
  <c r="O251" i="2" s="1"/>
  <c r="C252" i="2"/>
  <c r="J252" i="2"/>
  <c r="M252" i="2" s="1"/>
  <c r="L252" i="2"/>
  <c r="C253" i="2"/>
  <c r="J253" i="2"/>
  <c r="M253" i="2" s="1"/>
  <c r="L253" i="2"/>
  <c r="O253" i="2" s="1"/>
  <c r="C254" i="2"/>
  <c r="J254" i="2"/>
  <c r="M254" i="2" s="1"/>
  <c r="L254" i="2"/>
  <c r="O254" i="2" s="1"/>
  <c r="C255" i="2"/>
  <c r="J255" i="2"/>
  <c r="M255" i="2" s="1"/>
  <c r="L255" i="2"/>
  <c r="O255" i="2" s="1"/>
  <c r="C256" i="2"/>
  <c r="J256" i="2"/>
  <c r="M256" i="2" s="1"/>
  <c r="L256" i="2"/>
  <c r="C257" i="2"/>
  <c r="J257" i="2"/>
  <c r="M257" i="2" s="1"/>
  <c r="L257" i="2"/>
  <c r="C258" i="2"/>
  <c r="J258" i="2"/>
  <c r="M258" i="2" s="1"/>
  <c r="L258" i="2"/>
  <c r="C259" i="2"/>
  <c r="J259" i="2"/>
  <c r="M259" i="2" s="1"/>
  <c r="L259" i="2"/>
  <c r="C260" i="2"/>
  <c r="J260" i="2"/>
  <c r="M260" i="2" s="1"/>
  <c r="L260" i="2"/>
  <c r="O260" i="2" s="1"/>
  <c r="C261" i="2"/>
  <c r="J261" i="2"/>
  <c r="M261" i="2" s="1"/>
  <c r="L261" i="2"/>
  <c r="C262" i="2"/>
  <c r="J262" i="2"/>
  <c r="L262" i="2"/>
  <c r="O262" i="2" s="1"/>
  <c r="C263" i="2"/>
  <c r="J263" i="2"/>
  <c r="M263" i="2" s="1"/>
  <c r="L263" i="2"/>
  <c r="C264" i="2"/>
  <c r="J264" i="2"/>
  <c r="M264" i="2" s="1"/>
  <c r="L264" i="2"/>
  <c r="O264" i="2" s="1"/>
  <c r="C265" i="2"/>
  <c r="J265" i="2"/>
  <c r="M265" i="2" s="1"/>
  <c r="L265" i="2"/>
  <c r="O265" i="2" s="1"/>
  <c r="C266" i="2"/>
  <c r="J266" i="2"/>
  <c r="M266" i="2" s="1"/>
  <c r="L266" i="2"/>
  <c r="C267" i="2"/>
  <c r="J267" i="2"/>
  <c r="M267" i="2" s="1"/>
  <c r="L267" i="2"/>
  <c r="O267" i="2" s="1"/>
  <c r="C268" i="2"/>
  <c r="J268" i="2"/>
  <c r="M268" i="2" s="1"/>
  <c r="L268" i="2"/>
  <c r="C269" i="2"/>
  <c r="J269" i="2"/>
  <c r="M269" i="2" s="1"/>
  <c r="L269" i="2"/>
  <c r="C270" i="2"/>
  <c r="J270" i="2"/>
  <c r="M270" i="2" s="1"/>
  <c r="L270" i="2"/>
  <c r="O270" i="2" s="1"/>
  <c r="C271" i="2"/>
  <c r="J271" i="2"/>
  <c r="M271" i="2" s="1"/>
  <c r="L271" i="2"/>
  <c r="C272" i="2"/>
  <c r="J272" i="2"/>
  <c r="M272" i="2" s="1"/>
  <c r="L272" i="2"/>
  <c r="O272" i="2" s="1"/>
  <c r="C273" i="2"/>
  <c r="J273" i="2"/>
  <c r="M273" i="2" s="1"/>
  <c r="L273" i="2"/>
  <c r="C274" i="2"/>
  <c r="J274" i="2"/>
  <c r="L274" i="2"/>
  <c r="O274" i="2" s="1"/>
  <c r="C275" i="2"/>
  <c r="J275" i="2"/>
  <c r="M275" i="2" s="1"/>
  <c r="L275" i="2"/>
  <c r="O275" i="2" s="1"/>
  <c r="C276" i="2"/>
  <c r="J276" i="2"/>
  <c r="M276" i="2" s="1"/>
  <c r="L276" i="2"/>
  <c r="O276" i="2" s="1"/>
  <c r="C277" i="2"/>
  <c r="J277" i="2"/>
  <c r="M277" i="2" s="1"/>
  <c r="L277" i="2"/>
  <c r="O277" i="2" s="1"/>
  <c r="C278" i="2"/>
  <c r="J278" i="2"/>
  <c r="M278" i="2" s="1"/>
  <c r="L278" i="2"/>
  <c r="C279" i="2"/>
  <c r="J279" i="2"/>
  <c r="M279" i="2" s="1"/>
  <c r="L279" i="2"/>
  <c r="O279" i="2" s="1"/>
  <c r="C280" i="2"/>
  <c r="J280" i="2"/>
  <c r="M280" i="2" s="1"/>
  <c r="L280" i="2"/>
  <c r="O280" i="2" s="1"/>
  <c r="C281" i="2"/>
  <c r="J281" i="2"/>
  <c r="M281" i="2" s="1"/>
  <c r="L281" i="2"/>
  <c r="C282" i="2"/>
  <c r="J282" i="2"/>
  <c r="M282" i="2" s="1"/>
  <c r="L282" i="2"/>
  <c r="O282" i="2" s="1"/>
  <c r="C283" i="2"/>
  <c r="J283" i="2"/>
  <c r="M283" i="2" s="1"/>
  <c r="L283" i="2"/>
  <c r="F14" i="4"/>
  <c r="V28" i="4" s="1"/>
  <c r="D10" i="4"/>
  <c r="C284" i="2"/>
  <c r="C286" i="2"/>
  <c r="C287" i="2"/>
  <c r="C288" i="2"/>
  <c r="C289" i="2"/>
  <c r="C290" i="2"/>
  <c r="C291" i="2"/>
  <c r="C292" i="2"/>
  <c r="C293" i="2"/>
  <c r="C294" i="2"/>
  <c r="C295" i="2"/>
  <c r="C296" i="2"/>
  <c r="C297" i="2"/>
  <c r="C298" i="2"/>
  <c r="C299" i="2"/>
  <c r="C300" i="2"/>
  <c r="C301" i="2"/>
  <c r="D4" i="4"/>
  <c r="L88" i="2"/>
  <c r="O88" i="2" s="1"/>
  <c r="J88" i="2"/>
  <c r="M88" i="2" s="1"/>
  <c r="C88" i="2"/>
  <c r="L202" i="2"/>
  <c r="O202" i="2" s="1"/>
  <c r="J202" i="2"/>
  <c r="M202" i="2" s="1"/>
  <c r="C202" i="2"/>
  <c r="R17" i="2" l="1"/>
  <c r="P8" i="4" a="1"/>
  <c r="P8" i="4" s="1"/>
  <c r="P15" i="4" a="1"/>
  <c r="P15" i="4" s="1"/>
  <c r="K252" i="2"/>
  <c r="N252" i="2" s="1"/>
  <c r="P7" i="4" a="1"/>
  <c r="P7" i="4" s="1"/>
  <c r="P14" i="4" a="1"/>
  <c r="P14" i="4" s="1"/>
  <c r="P6" i="4" a="1"/>
  <c r="P6" i="4" s="1"/>
  <c r="P13" i="4" a="1"/>
  <c r="P13" i="4" s="1"/>
  <c r="P5" i="4" a="1"/>
  <c r="P5" i="4" s="1"/>
  <c r="P4" i="4" a="1"/>
  <c r="P4" i="4" s="1"/>
  <c r="P22" i="4" a="1"/>
  <c r="P22" i="4" s="1"/>
  <c r="P21" i="4" a="1"/>
  <c r="P21" i="4" s="1"/>
  <c r="P12" i="4" a="1"/>
  <c r="P12" i="4" s="1"/>
  <c r="P20" i="4" a="1"/>
  <c r="P20" i="4" s="1"/>
  <c r="P11" i="4" a="1"/>
  <c r="P11" i="4" s="1"/>
  <c r="P19" i="4" a="1"/>
  <c r="P19" i="4" s="1"/>
  <c r="P10" i="4" a="1"/>
  <c r="P10" i="4" s="1"/>
  <c r="P18" i="4" a="1"/>
  <c r="P18" i="4" s="1"/>
  <c r="P17" i="4" a="1"/>
  <c r="P17" i="4" s="1"/>
  <c r="P9" i="4" a="1"/>
  <c r="P9" i="4" s="1"/>
  <c r="P16" i="4" a="1"/>
  <c r="P16" i="4" s="1"/>
  <c r="K263" i="2"/>
  <c r="N263" i="2" s="1"/>
  <c r="K239" i="2"/>
  <c r="N239" i="2" s="1"/>
  <c r="K266" i="2"/>
  <c r="N266" i="2" s="1"/>
  <c r="K258" i="2"/>
  <c r="N258" i="2" s="1"/>
  <c r="K238" i="2"/>
  <c r="N238" i="2" s="1"/>
  <c r="K255" i="2"/>
  <c r="N255" i="2" s="1"/>
  <c r="K268" i="2"/>
  <c r="N268" i="2" s="1"/>
  <c r="K278" i="2"/>
  <c r="N278" i="2" s="1"/>
  <c r="K232" i="2"/>
  <c r="N232" i="2" s="1"/>
  <c r="K259" i="2"/>
  <c r="N259" i="2" s="1"/>
  <c r="K254" i="2"/>
  <c r="N254" i="2" s="1"/>
  <c r="F5" i="4"/>
  <c r="F15" i="4" a="1"/>
  <c r="F15" i="4" s="1"/>
  <c r="K274" i="2"/>
  <c r="N274" i="2" s="1"/>
  <c r="K261" i="2"/>
  <c r="N261" i="2" s="1"/>
  <c r="K257" i="2"/>
  <c r="N257" i="2" s="1"/>
  <c r="K247" i="2"/>
  <c r="N247" i="2" s="1"/>
  <c r="K279" i="2"/>
  <c r="N279" i="2" s="1"/>
  <c r="K270" i="2"/>
  <c r="N270" i="2" s="1"/>
  <c r="O266" i="2"/>
  <c r="K240" i="2"/>
  <c r="N240" i="2" s="1"/>
  <c r="K269" i="2"/>
  <c r="N269" i="2" s="1"/>
  <c r="O263" i="2"/>
  <c r="K256" i="2"/>
  <c r="N256" i="2" s="1"/>
  <c r="O268" i="2"/>
  <c r="K242" i="2"/>
  <c r="N242" i="2" s="1"/>
  <c r="K262" i="2"/>
  <c r="N262" i="2" s="1"/>
  <c r="K281" i="2"/>
  <c r="N281" i="2" s="1"/>
  <c r="O278" i="2"/>
  <c r="O256" i="2"/>
  <c r="K249" i="2"/>
  <c r="N249" i="2" s="1"/>
  <c r="K246" i="2"/>
  <c r="N246" i="2" s="1"/>
  <c r="K243" i="2"/>
  <c r="N243" i="2" s="1"/>
  <c r="K276" i="2"/>
  <c r="N276" i="2" s="1"/>
  <c r="K273" i="2"/>
  <c r="N273" i="2" s="1"/>
  <c r="K267" i="2"/>
  <c r="N267" i="2" s="1"/>
  <c r="K245" i="2"/>
  <c r="N245" i="2" s="1"/>
  <c r="K235" i="2"/>
  <c r="N235" i="2" s="1"/>
  <c r="K283" i="2"/>
  <c r="N283" i="2" s="1"/>
  <c r="K280" i="2"/>
  <c r="N280" i="2" s="1"/>
  <c r="O258" i="2"/>
  <c r="K251" i="2"/>
  <c r="N251" i="2" s="1"/>
  <c r="K231" i="2"/>
  <c r="N231" i="2" s="1"/>
  <c r="K264" i="2"/>
  <c r="N264" i="2" s="1"/>
  <c r="K237" i="2"/>
  <c r="N237" i="2" s="1"/>
  <c r="K234" i="2"/>
  <c r="N234" i="2" s="1"/>
  <c r="K275" i="2"/>
  <c r="N275" i="2" s="1"/>
  <c r="O252" i="2"/>
  <c r="K244" i="2"/>
  <c r="N244" i="2" s="1"/>
  <c r="K228" i="2"/>
  <c r="N228" i="2" s="1"/>
  <c r="O230" i="2"/>
  <c r="K282" i="2"/>
  <c r="N282" i="2" s="1"/>
  <c r="K271" i="2"/>
  <c r="N271" i="2" s="1"/>
  <c r="K250" i="2"/>
  <c r="N250" i="2" s="1"/>
  <c r="K233" i="2"/>
  <c r="N233" i="2" s="1"/>
  <c r="K272" i="2"/>
  <c r="N272" i="2" s="1"/>
  <c r="K260" i="2"/>
  <c r="N260" i="2" s="1"/>
  <c r="K248" i="2"/>
  <c r="N248" i="2" s="1"/>
  <c r="K236" i="2"/>
  <c r="N236" i="2" s="1"/>
  <c r="O232" i="2"/>
  <c r="K277" i="2"/>
  <c r="N277" i="2" s="1"/>
  <c r="O273" i="2"/>
  <c r="K265" i="2"/>
  <c r="N265" i="2" s="1"/>
  <c r="O261" i="2"/>
  <c r="K253" i="2"/>
  <c r="N253" i="2" s="1"/>
  <c r="O249" i="2"/>
  <c r="K241" i="2"/>
  <c r="N241" i="2" s="1"/>
  <c r="O237" i="2"/>
  <c r="K229" i="2"/>
  <c r="N229" i="2" s="1"/>
  <c r="O283" i="2"/>
  <c r="O271" i="2"/>
  <c r="O259" i="2"/>
  <c r="O247" i="2"/>
  <c r="O281" i="2"/>
  <c r="O269" i="2"/>
  <c r="O257" i="2"/>
  <c r="O245" i="2"/>
  <c r="O233" i="2"/>
  <c r="M274" i="2"/>
  <c r="M262" i="2"/>
  <c r="M250" i="2"/>
  <c r="M238" i="2"/>
  <c r="K88" i="2"/>
  <c r="N88" i="2" s="1"/>
  <c r="K202" i="2"/>
  <c r="N202" i="2" s="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3" i="2"/>
  <c r="C204" i="2"/>
  <c r="C205" i="2"/>
  <c r="C206" i="2"/>
  <c r="C207" i="2"/>
  <c r="C208" i="2"/>
  <c r="C209" i="2"/>
  <c r="C210" i="2"/>
  <c r="C211" i="2"/>
  <c r="C212" i="2"/>
  <c r="C213" i="2"/>
  <c r="C214" i="2"/>
  <c r="C215" i="2"/>
  <c r="C216" i="2"/>
  <c r="C217" i="2"/>
  <c r="C218" i="2"/>
  <c r="C219" i="2"/>
  <c r="C220" i="2"/>
  <c r="C221" i="2"/>
  <c r="C222" i="2"/>
  <c r="C223" i="2"/>
  <c r="C224" i="2"/>
  <c r="C225" i="2"/>
  <c r="C226" i="2"/>
  <c r="C2" i="2"/>
  <c r="J291" i="2"/>
  <c r="J292" i="2"/>
  <c r="J293" i="2"/>
  <c r="J294" i="2"/>
  <c r="J295" i="2"/>
  <c r="J296" i="2"/>
  <c r="J297" i="2"/>
  <c r="J298" i="2"/>
  <c r="J299" i="2"/>
  <c r="J300" i="2"/>
  <c r="J301" i="2"/>
  <c r="L291" i="2"/>
  <c r="L292" i="2"/>
  <c r="L293" i="2"/>
  <c r="L294" i="2"/>
  <c r="L295" i="2"/>
  <c r="L296" i="2"/>
  <c r="L297" i="2"/>
  <c r="L298" i="2"/>
  <c r="L299" i="2"/>
  <c r="L300" i="2"/>
  <c r="L301" i="2"/>
  <c r="J284" i="2"/>
  <c r="J285" i="2"/>
  <c r="J286" i="2"/>
  <c r="J287" i="2"/>
  <c r="J288" i="2"/>
  <c r="J289" i="2"/>
  <c r="J290" i="2"/>
  <c r="L284" i="2"/>
  <c r="L285" i="2"/>
  <c r="L286" i="2"/>
  <c r="L287" i="2"/>
  <c r="L288" i="2"/>
  <c r="L289" i="2"/>
  <c r="L290" i="2"/>
  <c r="G9" i="1"/>
  <c r="G11" i="1"/>
  <c r="G8" i="1"/>
  <c r="E3" i="1"/>
  <c r="E4" i="1"/>
  <c r="E5" i="1"/>
  <c r="E6" i="1"/>
  <c r="E7" i="1"/>
  <c r="E8" i="1"/>
  <c r="E9" i="1"/>
  <c r="E10" i="1"/>
  <c r="E11" i="1"/>
  <c r="E12" i="1"/>
  <c r="E13" i="1"/>
  <c r="E14" i="1"/>
  <c r="E15" i="1"/>
  <c r="E16" i="1"/>
  <c r="E17" i="1"/>
  <c r="E18" i="1"/>
  <c r="E19" i="1"/>
  <c r="E20" i="1"/>
  <c r="E21"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2" i="1"/>
  <c r="H44" i="1"/>
  <c r="H45" i="1"/>
  <c r="H46" i="1"/>
  <c r="H47" i="1"/>
  <c r="H48" i="1"/>
  <c r="H49" i="1"/>
  <c r="H50" i="1"/>
  <c r="H37" i="1"/>
  <c r="H38" i="1"/>
  <c r="H39" i="1"/>
  <c r="H40" i="1"/>
  <c r="H41" i="1"/>
  <c r="H42" i="1"/>
  <c r="H43"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G2" i="1"/>
  <c r="G3" i="1"/>
  <c r="G4" i="1"/>
  <c r="G5" i="1"/>
  <c r="G6" i="1"/>
  <c r="G7" i="1"/>
  <c r="G10"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K294" i="2" l="1"/>
  <c r="K291" i="2"/>
  <c r="K288" i="2"/>
  <c r="K301" i="2"/>
  <c r="K299" i="2"/>
  <c r="N299" i="2" s="1"/>
  <c r="K286" i="2"/>
  <c r="K285" i="2"/>
  <c r="N285" i="2" s="1"/>
  <c r="K297" i="2"/>
  <c r="N297" i="2" s="1"/>
  <c r="K295" i="2"/>
  <c r="N295" i="2" s="1"/>
  <c r="K287" i="2"/>
  <c r="N287" i="2" s="1"/>
  <c r="K300" i="2"/>
  <c r="N300" i="2" s="1"/>
  <c r="K284" i="2"/>
  <c r="K298" i="2"/>
  <c r="N298" i="2" s="1"/>
  <c r="K296" i="2"/>
  <c r="N296" i="2" s="1"/>
  <c r="K290" i="2"/>
  <c r="N290" i="2" s="1"/>
  <c r="K293" i="2"/>
  <c r="N293" i="2" s="1"/>
  <c r="K289" i="2"/>
  <c r="N289" i="2" s="1"/>
  <c r="K292" i="2"/>
  <c r="N292" i="2" s="1"/>
  <c r="M285" i="2"/>
  <c r="O292" i="2"/>
  <c r="M286" i="2"/>
  <c r="M284" i="2"/>
  <c r="O291" i="2"/>
  <c r="N291" i="2"/>
  <c r="M301" i="2"/>
  <c r="M300" i="2"/>
  <c r="O290" i="2"/>
  <c r="O301" i="2"/>
  <c r="N301" i="2"/>
  <c r="M299" i="2"/>
  <c r="O289" i="2"/>
  <c r="O300" i="2"/>
  <c r="M298" i="2"/>
  <c r="M291" i="2"/>
  <c r="O288" i="2"/>
  <c r="N288" i="2"/>
  <c r="O299" i="2"/>
  <c r="M297" i="2"/>
  <c r="O287" i="2"/>
  <c r="O298" i="2"/>
  <c r="M296" i="2"/>
  <c r="O293" i="2"/>
  <c r="O286" i="2"/>
  <c r="N286" i="2"/>
  <c r="M290" i="2"/>
  <c r="O297" i="2"/>
  <c r="M295" i="2"/>
  <c r="O285" i="2"/>
  <c r="M289" i="2"/>
  <c r="O296" i="2"/>
  <c r="M294" i="2"/>
  <c r="O284" i="2"/>
  <c r="M288" i="2"/>
  <c r="O295" i="2"/>
  <c r="M293" i="2"/>
  <c r="M287" i="2"/>
  <c r="O294" i="2"/>
  <c r="N294" i="2"/>
  <c r="M292" i="2"/>
  <c r="M4" i="1"/>
  <c r="M41" i="1"/>
  <c r="I3" i="4"/>
  <c r="F6" i="4"/>
  <c r="E6" i="4" s="1"/>
  <c r="E49" i="7"/>
  <c r="E46" i="7"/>
  <c r="E40" i="7"/>
  <c r="E35" i="7"/>
  <c r="E30" i="7"/>
  <c r="E27" i="7"/>
  <c r="E18" i="7"/>
  <c r="E47" i="7"/>
  <c r="E44" i="7"/>
  <c r="E25" i="7"/>
  <c r="E20" i="7"/>
  <c r="E19" i="7"/>
  <c r="E8" i="7"/>
  <c r="E6" i="7"/>
  <c r="E3" i="7"/>
  <c r="F4" i="7"/>
  <c r="F5" i="7"/>
  <c r="F7" i="7"/>
  <c r="F9" i="7"/>
  <c r="F10" i="7"/>
  <c r="F18" i="7"/>
  <c r="F27" i="7"/>
  <c r="F30" i="7"/>
  <c r="F35" i="7"/>
  <c r="F40" i="7"/>
  <c r="F46" i="7"/>
  <c r="F49" i="7"/>
  <c r="F2" i="7"/>
  <c r="J172" i="2"/>
  <c r="L172" i="2"/>
  <c r="J5" i="2"/>
  <c r="L5" i="2"/>
  <c r="J11" i="2"/>
  <c r="L11" i="2"/>
  <c r="J23" i="2"/>
  <c r="L23" i="2"/>
  <c r="J52" i="2"/>
  <c r="L52" i="2"/>
  <c r="J154" i="2"/>
  <c r="L154" i="2"/>
  <c r="J62" i="2"/>
  <c r="L62" i="2"/>
  <c r="J108" i="2"/>
  <c r="L108" i="2"/>
  <c r="J188" i="2"/>
  <c r="L188" i="2"/>
  <c r="J3" i="2"/>
  <c r="L3" i="2"/>
  <c r="J7" i="2"/>
  <c r="L7" i="2"/>
  <c r="J17" i="2"/>
  <c r="L17" i="2"/>
  <c r="J36" i="2"/>
  <c r="L36" i="2"/>
  <c r="J57" i="2"/>
  <c r="L57" i="2"/>
  <c r="J145" i="2"/>
  <c r="L145" i="2"/>
  <c r="J63" i="2"/>
  <c r="L63" i="2"/>
  <c r="J90" i="2"/>
  <c r="L90" i="2"/>
  <c r="J112" i="2"/>
  <c r="L112" i="2"/>
  <c r="J143" i="2"/>
  <c r="L143" i="2"/>
  <c r="J9" i="2"/>
  <c r="L9" i="2"/>
  <c r="J19" i="2"/>
  <c r="L19" i="2"/>
  <c r="J38" i="2"/>
  <c r="L38" i="2"/>
  <c r="J59" i="2"/>
  <c r="L59" i="2"/>
  <c r="J174" i="2"/>
  <c r="L174" i="2"/>
  <c r="J73" i="2"/>
  <c r="L73" i="2"/>
  <c r="J98" i="2"/>
  <c r="L98" i="2"/>
  <c r="J119" i="2"/>
  <c r="L119" i="2"/>
  <c r="J159" i="2"/>
  <c r="L159" i="2"/>
  <c r="J210" i="2"/>
  <c r="L210" i="2"/>
  <c r="J223" i="2"/>
  <c r="L223" i="2"/>
  <c r="J12" i="2"/>
  <c r="L12" i="2"/>
  <c r="J22" i="2"/>
  <c r="L22" i="2"/>
  <c r="J41" i="2"/>
  <c r="L41" i="2"/>
  <c r="J60" i="2"/>
  <c r="L60" i="2"/>
  <c r="J173" i="2"/>
  <c r="L173" i="2"/>
  <c r="J74" i="2"/>
  <c r="L74" i="2"/>
  <c r="J99" i="2"/>
  <c r="L99" i="2"/>
  <c r="J120" i="2"/>
  <c r="L120" i="2"/>
  <c r="J160" i="2"/>
  <c r="L160" i="2"/>
  <c r="J196" i="2"/>
  <c r="L196" i="2"/>
  <c r="J218" i="2"/>
  <c r="L218" i="2"/>
  <c r="J61" i="2"/>
  <c r="L61" i="2"/>
  <c r="J58" i="2"/>
  <c r="L58" i="2"/>
  <c r="J156" i="2"/>
  <c r="L156" i="2"/>
  <c r="J64" i="2"/>
  <c r="L64" i="2"/>
  <c r="J91" i="2"/>
  <c r="L91" i="2"/>
  <c r="J113" i="2"/>
  <c r="L113" i="2"/>
  <c r="J142" i="2"/>
  <c r="L142" i="2"/>
  <c r="J185" i="2"/>
  <c r="L185" i="2"/>
  <c r="J212" i="2"/>
  <c r="L212" i="2"/>
  <c r="J170" i="2"/>
  <c r="L170" i="2"/>
  <c r="J175" i="2"/>
  <c r="L175" i="2"/>
  <c r="J70" i="2"/>
  <c r="L70" i="2"/>
  <c r="J96" i="2"/>
  <c r="L96" i="2"/>
  <c r="J117" i="2"/>
  <c r="L117" i="2"/>
  <c r="J153" i="2"/>
  <c r="L153" i="2"/>
  <c r="J194" i="2"/>
  <c r="L194" i="2"/>
  <c r="J216" i="2"/>
  <c r="L216" i="2"/>
  <c r="J68" i="2"/>
  <c r="L68" i="2"/>
  <c r="J75" i="2"/>
  <c r="L75" i="2"/>
  <c r="J191" i="2"/>
  <c r="L191" i="2"/>
  <c r="J213" i="2"/>
  <c r="L213" i="2"/>
  <c r="J42" i="2"/>
  <c r="L42" i="2"/>
  <c r="J146" i="2"/>
  <c r="L146" i="2"/>
  <c r="J190" i="2"/>
  <c r="L190" i="2"/>
  <c r="J92" i="2"/>
  <c r="L92" i="2"/>
  <c r="J114" i="2"/>
  <c r="L114" i="2"/>
  <c r="J150" i="2"/>
  <c r="L150" i="2"/>
  <c r="J192" i="2"/>
  <c r="L192" i="2"/>
  <c r="J214" i="2"/>
  <c r="L214" i="2"/>
  <c r="J71" i="2"/>
  <c r="L71" i="2"/>
  <c r="J97" i="2"/>
  <c r="L97" i="2"/>
  <c r="J118" i="2"/>
  <c r="L118" i="2"/>
  <c r="J157" i="2"/>
  <c r="L157" i="2"/>
  <c r="J197" i="2"/>
  <c r="L197" i="2"/>
  <c r="J133" i="2"/>
  <c r="L133" i="2"/>
  <c r="J176" i="2"/>
  <c r="L176" i="2"/>
  <c r="J76" i="2"/>
  <c r="L76" i="2"/>
  <c r="J224" i="2"/>
  <c r="L224" i="2"/>
  <c r="J65" i="2"/>
  <c r="L65" i="2"/>
  <c r="J186" i="2"/>
  <c r="L186" i="2"/>
  <c r="J77" i="2"/>
  <c r="L77" i="2"/>
  <c r="J109" i="2"/>
  <c r="L109" i="2"/>
  <c r="J141" i="2"/>
  <c r="L141" i="2"/>
  <c r="J195" i="2"/>
  <c r="L195" i="2"/>
  <c r="J217" i="2"/>
  <c r="L217" i="2"/>
  <c r="J78" i="2"/>
  <c r="L78" i="2"/>
  <c r="J106" i="2"/>
  <c r="L106" i="2"/>
  <c r="J121" i="2"/>
  <c r="L121" i="2"/>
  <c r="J161" i="2"/>
  <c r="L161" i="2"/>
  <c r="J198" i="2"/>
  <c r="L198" i="2"/>
  <c r="J219" i="2"/>
  <c r="L219" i="2"/>
  <c r="J25" i="2"/>
  <c r="L25" i="2"/>
  <c r="J43" i="2"/>
  <c r="L43" i="2"/>
  <c r="J134" i="2"/>
  <c r="L134" i="2"/>
  <c r="J177" i="2"/>
  <c r="L177" i="2"/>
  <c r="J79" i="2"/>
  <c r="L79" i="2"/>
  <c r="J100" i="2"/>
  <c r="L100" i="2"/>
  <c r="J122" i="2"/>
  <c r="L122" i="2"/>
  <c r="J162" i="2"/>
  <c r="L162" i="2"/>
  <c r="J199" i="2"/>
  <c r="L199" i="2"/>
  <c r="J220" i="2"/>
  <c r="L220" i="2"/>
  <c r="J4" i="2"/>
  <c r="L4" i="2"/>
  <c r="J20" i="2"/>
  <c r="L20" i="2"/>
  <c r="J26" i="2"/>
  <c r="I18" i="4" s="1" a="1"/>
  <c r="I18" i="4" s="1"/>
  <c r="L26" i="2"/>
  <c r="J44" i="2"/>
  <c r="L44" i="2"/>
  <c r="J135" i="2"/>
  <c r="L135" i="2"/>
  <c r="J178" i="2"/>
  <c r="L178" i="2"/>
  <c r="J80" i="2"/>
  <c r="L80" i="2"/>
  <c r="J101" i="2"/>
  <c r="L101" i="2"/>
  <c r="J123" i="2"/>
  <c r="L123" i="2"/>
  <c r="J163" i="2"/>
  <c r="L163" i="2"/>
  <c r="J200" i="2"/>
  <c r="L200" i="2"/>
  <c r="J225" i="2"/>
  <c r="L225" i="2"/>
  <c r="J10" i="2"/>
  <c r="L10" i="2"/>
  <c r="J16" i="2"/>
  <c r="L16" i="2"/>
  <c r="J51" i="2"/>
  <c r="L51" i="2"/>
  <c r="J158" i="2"/>
  <c r="L158" i="2"/>
  <c r="J72" i="2"/>
  <c r="L72" i="2"/>
  <c r="J69" i="2"/>
  <c r="L69" i="2"/>
  <c r="J201" i="2"/>
  <c r="L201" i="2"/>
  <c r="J227" i="2"/>
  <c r="L227" i="2"/>
  <c r="J124" i="2"/>
  <c r="L124" i="2"/>
  <c r="J164" i="2"/>
  <c r="L164" i="2"/>
  <c r="J203" i="2"/>
  <c r="L203" i="2"/>
  <c r="J24" i="2"/>
  <c r="L24" i="2"/>
  <c r="J53" i="2"/>
  <c r="L53" i="2"/>
  <c r="J147" i="2"/>
  <c r="L147" i="2"/>
  <c r="J27" i="2"/>
  <c r="L27" i="2"/>
  <c r="J45" i="2"/>
  <c r="L45" i="2"/>
  <c r="J136" i="2"/>
  <c r="L136" i="2"/>
  <c r="J179" i="2"/>
  <c r="L179" i="2"/>
  <c r="J81" i="2"/>
  <c r="L81" i="2"/>
  <c r="J102" i="2"/>
  <c r="L102" i="2"/>
  <c r="J125" i="2"/>
  <c r="L125" i="2"/>
  <c r="J165" i="2"/>
  <c r="L165" i="2"/>
  <c r="J204" i="2"/>
  <c r="L204" i="2"/>
  <c r="J226" i="2"/>
  <c r="L226" i="2"/>
  <c r="J66" i="2"/>
  <c r="L66" i="2"/>
  <c r="J93" i="2"/>
  <c r="L93" i="2"/>
  <c r="J115" i="2"/>
  <c r="L115" i="2"/>
  <c r="J144" i="2"/>
  <c r="L144" i="2"/>
  <c r="J193" i="2"/>
  <c r="L193" i="2"/>
  <c r="J215" i="2"/>
  <c r="L215" i="2"/>
  <c r="J54" i="2"/>
  <c r="L54" i="2"/>
  <c r="J148" i="2"/>
  <c r="L148" i="2"/>
  <c r="J187" i="2"/>
  <c r="L187" i="2"/>
  <c r="J46" i="2"/>
  <c r="L46" i="2"/>
  <c r="J137" i="2"/>
  <c r="L137" i="2"/>
  <c r="J180" i="2"/>
  <c r="L180" i="2"/>
  <c r="J82" i="2"/>
  <c r="L82" i="2"/>
  <c r="J103" i="2"/>
  <c r="L103" i="2"/>
  <c r="J126" i="2"/>
  <c r="L126" i="2"/>
  <c r="J166" i="2"/>
  <c r="L166" i="2"/>
  <c r="J205" i="2"/>
  <c r="L205" i="2"/>
  <c r="J21" i="2"/>
  <c r="L21" i="2"/>
  <c r="J35" i="2"/>
  <c r="L35" i="2"/>
  <c r="J167" i="2"/>
  <c r="L167" i="2"/>
  <c r="J206" i="2"/>
  <c r="L206" i="2"/>
  <c r="J221" i="2"/>
  <c r="L221" i="2"/>
  <c r="J89" i="2"/>
  <c r="L89" i="2"/>
  <c r="J110" i="2"/>
  <c r="L110" i="2"/>
  <c r="J130" i="2"/>
  <c r="L130" i="2"/>
  <c r="J6" i="2"/>
  <c r="L6" i="2"/>
  <c r="J13" i="2"/>
  <c r="L13" i="2"/>
  <c r="J28" i="2"/>
  <c r="L28" i="2"/>
  <c r="J55" i="2"/>
  <c r="L55" i="2"/>
  <c r="J152" i="2"/>
  <c r="L152" i="2"/>
  <c r="J67" i="2"/>
  <c r="L67" i="2"/>
  <c r="J94" i="2"/>
  <c r="L94" i="2"/>
  <c r="J116" i="2"/>
  <c r="L116" i="2"/>
  <c r="J155" i="2"/>
  <c r="L155" i="2"/>
  <c r="J207" i="2"/>
  <c r="L207" i="2"/>
  <c r="J29" i="2"/>
  <c r="L29" i="2"/>
  <c r="J47" i="2"/>
  <c r="L47" i="2"/>
  <c r="J138" i="2"/>
  <c r="L138" i="2"/>
  <c r="J83" i="2"/>
  <c r="L83" i="2"/>
  <c r="J104" i="2"/>
  <c r="L104" i="2"/>
  <c r="J127" i="2"/>
  <c r="L127" i="2"/>
  <c r="J131" i="2"/>
  <c r="L131" i="2"/>
  <c r="J171" i="2"/>
  <c r="L171" i="2"/>
  <c r="J84" i="2"/>
  <c r="L84" i="2"/>
  <c r="J30" i="2"/>
  <c r="L30" i="2"/>
  <c r="J31" i="2"/>
  <c r="L31" i="2"/>
  <c r="J139" i="2"/>
  <c r="L139" i="2"/>
  <c r="J181" i="2"/>
  <c r="L181" i="2"/>
  <c r="J85" i="2"/>
  <c r="L85" i="2"/>
  <c r="J105" i="2"/>
  <c r="L105" i="2"/>
  <c r="J128" i="2"/>
  <c r="L128" i="2"/>
  <c r="J168" i="2"/>
  <c r="L168" i="2"/>
  <c r="J208" i="2"/>
  <c r="L208" i="2"/>
  <c r="J39" i="2"/>
  <c r="L39" i="2"/>
  <c r="J40" i="2"/>
  <c r="L40" i="2"/>
  <c r="J132" i="2"/>
  <c r="L132" i="2"/>
  <c r="J184" i="2"/>
  <c r="L184" i="2"/>
  <c r="J211" i="2"/>
  <c r="L211" i="2"/>
  <c r="J14" i="2"/>
  <c r="L14" i="2"/>
  <c r="J32" i="2"/>
  <c r="L32" i="2"/>
  <c r="J48" i="2"/>
  <c r="L48" i="2"/>
  <c r="J140" i="2"/>
  <c r="L140" i="2"/>
  <c r="J182" i="2"/>
  <c r="L182" i="2"/>
  <c r="J86" i="2"/>
  <c r="L86" i="2"/>
  <c r="J107" i="2"/>
  <c r="L107" i="2"/>
  <c r="J129" i="2"/>
  <c r="L129" i="2"/>
  <c r="J169" i="2"/>
  <c r="L169" i="2"/>
  <c r="J209" i="2"/>
  <c r="L209" i="2"/>
  <c r="J222" i="2"/>
  <c r="L222" i="2"/>
  <c r="J149" i="2"/>
  <c r="L149" i="2"/>
  <c r="J33" i="2"/>
  <c r="L33" i="2"/>
  <c r="J49" i="2"/>
  <c r="L49" i="2"/>
  <c r="J15" i="2"/>
  <c r="L15" i="2"/>
  <c r="J34" i="2"/>
  <c r="L34" i="2"/>
  <c r="J50" i="2"/>
  <c r="L50" i="2"/>
  <c r="J183" i="2"/>
  <c r="L183" i="2"/>
  <c r="J87" i="2"/>
  <c r="L87" i="2"/>
  <c r="L8" i="2"/>
  <c r="L18" i="2"/>
  <c r="L37" i="2"/>
  <c r="L56" i="2"/>
  <c r="L151" i="2"/>
  <c r="L189" i="2"/>
  <c r="L95" i="2"/>
  <c r="L111" i="2"/>
  <c r="J37" i="2"/>
  <c r="J56" i="2"/>
  <c r="J151" i="2"/>
  <c r="J189" i="2"/>
  <c r="J95" i="2"/>
  <c r="J111" i="2"/>
  <c r="J18" i="2"/>
  <c r="J8" i="2"/>
  <c r="L2" i="2"/>
  <c r="J2" i="2"/>
  <c r="K26" i="2" l="1"/>
  <c r="K25" i="2"/>
  <c r="K186" i="2"/>
  <c r="K197" i="2"/>
  <c r="K192" i="2"/>
  <c r="K42" i="2"/>
  <c r="K194" i="2"/>
  <c r="N194" i="2" s="1"/>
  <c r="K170" i="2"/>
  <c r="N170" i="2" s="1"/>
  <c r="K64" i="2"/>
  <c r="N64" i="2" s="1"/>
  <c r="K160" i="2"/>
  <c r="N160" i="2" s="1"/>
  <c r="K41" i="2"/>
  <c r="N41" i="2" s="1"/>
  <c r="K19" i="2"/>
  <c r="N19" i="2" s="1"/>
  <c r="K145" i="2"/>
  <c r="K188" i="2"/>
  <c r="K50" i="2"/>
  <c r="K182" i="2"/>
  <c r="K116" i="2"/>
  <c r="K13" i="2"/>
  <c r="N13" i="2" s="1"/>
  <c r="K206" i="2"/>
  <c r="N206" i="2" s="1"/>
  <c r="K187" i="2"/>
  <c r="N187" i="2" s="1"/>
  <c r="K27" i="2"/>
  <c r="N27" i="2" s="1"/>
  <c r="K51" i="2"/>
  <c r="N51" i="2" s="1"/>
  <c r="K11" i="2"/>
  <c r="N11" i="2" s="1"/>
  <c r="L302" i="2"/>
  <c r="X56" i="4" s="1"/>
  <c r="J302" i="2"/>
  <c r="X55" i="4" s="1"/>
  <c r="K18" i="2"/>
  <c r="N18" i="2" s="1"/>
  <c r="K40" i="2"/>
  <c r="K85" i="2"/>
  <c r="K171" i="2"/>
  <c r="K47" i="2"/>
  <c r="N47" i="2" s="1"/>
  <c r="K67" i="2"/>
  <c r="N67" i="2" s="1"/>
  <c r="K35" i="2"/>
  <c r="N35" i="2" s="1"/>
  <c r="K82" i="2"/>
  <c r="N82" i="2" s="1"/>
  <c r="K54" i="2"/>
  <c r="N54" i="2" s="1"/>
  <c r="K66" i="2"/>
  <c r="N66" i="2" s="1"/>
  <c r="K81" i="2"/>
  <c r="N81" i="2" s="1"/>
  <c r="K53" i="2"/>
  <c r="K201" i="2"/>
  <c r="K10" i="2"/>
  <c r="K80" i="2"/>
  <c r="K4" i="2"/>
  <c r="K198" i="2"/>
  <c r="N198" i="2" s="1"/>
  <c r="K191" i="2"/>
  <c r="N191" i="2" s="1"/>
  <c r="K12" i="2"/>
  <c r="N12" i="2" s="1"/>
  <c r="K172" i="2"/>
  <c r="N172" i="2" s="1"/>
  <c r="N284" i="2"/>
  <c r="K87" i="2"/>
  <c r="N87" i="2" s="1"/>
  <c r="K33" i="2"/>
  <c r="N33" i="2" s="1"/>
  <c r="K14" i="2"/>
  <c r="K139" i="2"/>
  <c r="N139" i="2" s="1"/>
  <c r="K55" i="2"/>
  <c r="K89" i="2"/>
  <c r="K137" i="2"/>
  <c r="K193" i="2"/>
  <c r="N193" i="2" s="1"/>
  <c r="K204" i="2"/>
  <c r="N204" i="2" s="1"/>
  <c r="K136" i="2"/>
  <c r="N136" i="2" s="1"/>
  <c r="K203" i="2"/>
  <c r="N203" i="2" s="1"/>
  <c r="K199" i="2"/>
  <c r="N199" i="2" s="1"/>
  <c r="K134" i="2"/>
  <c r="N134" i="2" s="1"/>
  <c r="K190" i="2"/>
  <c r="N190" i="2" s="1"/>
  <c r="K68" i="2"/>
  <c r="K59" i="2"/>
  <c r="N59" i="2" s="1"/>
  <c r="K7" i="2"/>
  <c r="K52" i="2"/>
  <c r="K183" i="2"/>
  <c r="K149" i="2"/>
  <c r="N149" i="2" s="1"/>
  <c r="K86" i="2"/>
  <c r="N86" i="2" s="1"/>
  <c r="K211" i="2"/>
  <c r="N211" i="2" s="1"/>
  <c r="K168" i="2"/>
  <c r="N168" i="2" s="1"/>
  <c r="K31" i="2"/>
  <c r="N31" i="2" s="1"/>
  <c r="K104" i="2"/>
  <c r="N104" i="2" s="1"/>
  <c r="K155" i="2"/>
  <c r="N155" i="2" s="1"/>
  <c r="K28" i="2"/>
  <c r="K166" i="2"/>
  <c r="N166" i="2" s="1"/>
  <c r="K46" i="2"/>
  <c r="K158" i="2"/>
  <c r="K163" i="2"/>
  <c r="K44" i="2"/>
  <c r="K162" i="2"/>
  <c r="K43" i="2"/>
  <c r="N43" i="2" s="1"/>
  <c r="K106" i="2"/>
  <c r="N106" i="2" s="1"/>
  <c r="K77" i="2"/>
  <c r="N77" i="2" s="1"/>
  <c r="K133" i="2"/>
  <c r="N133" i="2" s="1"/>
  <c r="K175" i="2"/>
  <c r="N175" i="2" s="1"/>
  <c r="K196" i="2"/>
  <c r="K60" i="2"/>
  <c r="K34" i="2"/>
  <c r="K209" i="2"/>
  <c r="K140" i="2"/>
  <c r="K132" i="2"/>
  <c r="N132" i="2" s="1"/>
  <c r="K105" i="2"/>
  <c r="N105" i="2" s="1"/>
  <c r="K84" i="2"/>
  <c r="N84" i="2" s="1"/>
  <c r="K138" i="2"/>
  <c r="N138" i="2" s="1"/>
  <c r="K6" i="2"/>
  <c r="N6" i="2" s="1"/>
  <c r="K148" i="2"/>
  <c r="N148" i="2" s="1"/>
  <c r="K147" i="2"/>
  <c r="N147" i="2" s="1"/>
  <c r="K16" i="2"/>
  <c r="K101" i="2"/>
  <c r="N101" i="2" s="1"/>
  <c r="K20" i="2"/>
  <c r="K100" i="2"/>
  <c r="K217" i="2"/>
  <c r="K65" i="2"/>
  <c r="K150" i="2"/>
  <c r="K212" i="2"/>
  <c r="N212" i="2" s="1"/>
  <c r="K156" i="2"/>
  <c r="N156" i="2" s="1"/>
  <c r="K98" i="2"/>
  <c r="N98" i="2" s="1"/>
  <c r="K9" i="2"/>
  <c r="N9" i="2" s="1"/>
  <c r="K57" i="2"/>
  <c r="N57" i="2" s="1"/>
  <c r="K108" i="2"/>
  <c r="K5" i="2"/>
  <c r="N5" i="2" s="1"/>
  <c r="K49" i="2"/>
  <c r="K129" i="2"/>
  <c r="K32" i="2"/>
  <c r="K39" i="2"/>
  <c r="K181" i="2"/>
  <c r="N181" i="2" s="1"/>
  <c r="K131" i="2"/>
  <c r="N131" i="2" s="1"/>
  <c r="K29" i="2"/>
  <c r="N29" i="2" s="1"/>
  <c r="K21" i="2"/>
  <c r="N21" i="2" s="1"/>
  <c r="K180" i="2"/>
  <c r="N180" i="2" s="1"/>
  <c r="K179" i="2"/>
  <c r="N179" i="2" s="1"/>
  <c r="K24" i="2"/>
  <c r="K69" i="2"/>
  <c r="K225" i="2"/>
  <c r="K178" i="2"/>
  <c r="K177" i="2"/>
  <c r="K161" i="2"/>
  <c r="N161" i="2" s="1"/>
  <c r="K141" i="2"/>
  <c r="N141" i="2" s="1"/>
  <c r="K76" i="2"/>
  <c r="N76" i="2" s="1"/>
  <c r="K97" i="2"/>
  <c r="N97" i="2" s="1"/>
  <c r="K96" i="2"/>
  <c r="N96" i="2" s="1"/>
  <c r="K142" i="2"/>
  <c r="N142" i="2" s="1"/>
  <c r="K61" i="2"/>
  <c r="N61" i="2" s="1"/>
  <c r="K74" i="2"/>
  <c r="N74" i="2" s="1"/>
  <c r="K174" i="2"/>
  <c r="N174" i="2" s="1"/>
  <c r="K17" i="2"/>
  <c r="K154" i="2"/>
  <c r="I5" i="4"/>
  <c r="K107" i="2"/>
  <c r="N107" i="2" s="1"/>
  <c r="K110" i="2"/>
  <c r="N110" i="2" s="1"/>
  <c r="K93" i="2"/>
  <c r="N93" i="2" s="1"/>
  <c r="K102" i="2"/>
  <c r="N102" i="2" s="1"/>
  <c r="K123" i="2"/>
  <c r="N123" i="2" s="1"/>
  <c r="K109" i="2"/>
  <c r="N109" i="2" s="1"/>
  <c r="K113" i="2"/>
  <c r="N113" i="2" s="1"/>
  <c r="K210" i="2"/>
  <c r="K90" i="2"/>
  <c r="N90" i="2" s="1"/>
  <c r="K222" i="2"/>
  <c r="K208" i="2"/>
  <c r="K127" i="2"/>
  <c r="N127" i="2" s="1"/>
  <c r="K94" i="2"/>
  <c r="N94" i="2" s="1"/>
  <c r="K221" i="2"/>
  <c r="N221" i="2" s="1"/>
  <c r="K205" i="2"/>
  <c r="N205" i="2" s="1"/>
  <c r="K215" i="2"/>
  <c r="N215" i="2" s="1"/>
  <c r="K226" i="2"/>
  <c r="N226" i="2" s="1"/>
  <c r="K122" i="2"/>
  <c r="N122" i="2" s="1"/>
  <c r="K121" i="2"/>
  <c r="N121" i="2" s="1"/>
  <c r="K224" i="2"/>
  <c r="N224" i="2" s="1"/>
  <c r="K118" i="2"/>
  <c r="N118" i="2" s="1"/>
  <c r="K117" i="2"/>
  <c r="K99" i="2"/>
  <c r="K119" i="2"/>
  <c r="N119" i="2" s="1"/>
  <c r="K189" i="2"/>
  <c r="N189" i="2" s="1"/>
  <c r="K2" i="2"/>
  <c r="N2" i="2" s="1"/>
  <c r="K151" i="2"/>
  <c r="N151" i="2" s="1"/>
  <c r="K56" i="2"/>
  <c r="N56" i="2" s="1"/>
  <c r="K15" i="2"/>
  <c r="N15" i="2" s="1"/>
  <c r="K169" i="2"/>
  <c r="N169" i="2" s="1"/>
  <c r="K48" i="2"/>
  <c r="N48" i="2" s="1"/>
  <c r="K184" i="2"/>
  <c r="N184" i="2" s="1"/>
  <c r="K30" i="2"/>
  <c r="N30" i="2" s="1"/>
  <c r="K83" i="2"/>
  <c r="K152" i="2"/>
  <c r="K167" i="2"/>
  <c r="N167" i="2" s="1"/>
  <c r="K144" i="2"/>
  <c r="N144" i="2" s="1"/>
  <c r="K165" i="2"/>
  <c r="N165" i="2" s="1"/>
  <c r="K45" i="2"/>
  <c r="N45" i="2" s="1"/>
  <c r="K164" i="2"/>
  <c r="N164" i="2" s="1"/>
  <c r="K72" i="2"/>
  <c r="N72" i="2" s="1"/>
  <c r="K200" i="2"/>
  <c r="N200" i="2" s="1"/>
  <c r="K135" i="2"/>
  <c r="N135" i="2" s="1"/>
  <c r="K79" i="2"/>
  <c r="N79" i="2" s="1"/>
  <c r="K78" i="2"/>
  <c r="N78" i="2" s="1"/>
  <c r="K195" i="2"/>
  <c r="K176" i="2"/>
  <c r="K71" i="2"/>
  <c r="N71" i="2" s="1"/>
  <c r="K70" i="2"/>
  <c r="K185" i="2"/>
  <c r="N185" i="2" s="1"/>
  <c r="K58" i="2"/>
  <c r="N58" i="2" s="1"/>
  <c r="K173" i="2"/>
  <c r="N173" i="2" s="1"/>
  <c r="K73" i="2"/>
  <c r="N73" i="2" s="1"/>
  <c r="K143" i="2"/>
  <c r="N143" i="2" s="1"/>
  <c r="K36" i="2"/>
  <c r="N36" i="2" s="1"/>
  <c r="K62" i="2"/>
  <c r="N62" i="2" s="1"/>
  <c r="K37" i="2"/>
  <c r="N37" i="2" s="1"/>
  <c r="K8" i="2"/>
  <c r="K157" i="2"/>
  <c r="K214" i="2"/>
  <c r="N214" i="2" s="1"/>
  <c r="K146" i="2"/>
  <c r="N146" i="2" s="1"/>
  <c r="K75" i="2"/>
  <c r="N75" i="2" s="1"/>
  <c r="K153" i="2"/>
  <c r="N153" i="2" s="1"/>
  <c r="K91" i="2"/>
  <c r="N91" i="2" s="1"/>
  <c r="K120" i="2"/>
  <c r="N120" i="2" s="1"/>
  <c r="K22" i="2"/>
  <c r="N22" i="2" s="1"/>
  <c r="K159" i="2"/>
  <c r="N159" i="2" s="1"/>
  <c r="K38" i="2"/>
  <c r="N38" i="2" s="1"/>
  <c r="K63" i="2"/>
  <c r="N63" i="2" s="1"/>
  <c r="K3" i="2"/>
  <c r="K23" i="2"/>
  <c r="K207" i="2"/>
  <c r="N207" i="2" s="1"/>
  <c r="K128" i="2"/>
  <c r="K126" i="2"/>
  <c r="N126" i="2" s="1"/>
  <c r="K227" i="2"/>
  <c r="N227" i="2" s="1"/>
  <c r="K114" i="2"/>
  <c r="N114" i="2" s="1"/>
  <c r="K218" i="2"/>
  <c r="N218" i="2" s="1"/>
  <c r="K130" i="2"/>
  <c r="N130" i="2" s="1"/>
  <c r="K103" i="2"/>
  <c r="N103" i="2" s="1"/>
  <c r="K115" i="2"/>
  <c r="N115" i="2" s="1"/>
  <c r="K125" i="2"/>
  <c r="N125" i="2" s="1"/>
  <c r="K124" i="2"/>
  <c r="K220" i="2"/>
  <c r="N220" i="2" s="1"/>
  <c r="K219" i="2"/>
  <c r="N219" i="2" s="1"/>
  <c r="K92" i="2"/>
  <c r="N92" i="2" s="1"/>
  <c r="K213" i="2"/>
  <c r="N213" i="2" s="1"/>
  <c r="K216" i="2"/>
  <c r="N216" i="2" s="1"/>
  <c r="K223" i="2"/>
  <c r="N223" i="2" s="1"/>
  <c r="K112" i="2"/>
  <c r="N112" i="2" s="1"/>
  <c r="K111" i="2"/>
  <c r="N111" i="2" s="1"/>
  <c r="K95" i="2"/>
  <c r="N95" i="2" s="1"/>
  <c r="O182" i="2"/>
  <c r="N182" i="2"/>
  <c r="O102" i="2"/>
  <c r="O10" i="2"/>
  <c r="N10" i="2"/>
  <c r="O121" i="2"/>
  <c r="O64" i="2"/>
  <c r="O62" i="2"/>
  <c r="O189" i="2"/>
  <c r="O208" i="2"/>
  <c r="N208" i="2"/>
  <c r="O45" i="2"/>
  <c r="O72" i="2"/>
  <c r="O118" i="2"/>
  <c r="O185" i="2"/>
  <c r="O41" i="2"/>
  <c r="O143" i="2"/>
  <c r="O11" i="2"/>
  <c r="O151" i="2"/>
  <c r="M182" i="2"/>
  <c r="M85" i="2"/>
  <c r="M47" i="2"/>
  <c r="M94" i="2"/>
  <c r="M28" i="2"/>
  <c r="M221" i="2"/>
  <c r="M35" i="2"/>
  <c r="M126" i="2"/>
  <c r="M137" i="2"/>
  <c r="M148" i="2"/>
  <c r="M144" i="2"/>
  <c r="M226" i="2"/>
  <c r="M102" i="2"/>
  <c r="M45" i="2"/>
  <c r="M24" i="2"/>
  <c r="M72" i="2"/>
  <c r="M10" i="2"/>
  <c r="M200" i="2"/>
  <c r="M80" i="2"/>
  <c r="M26" i="2"/>
  <c r="M122" i="2"/>
  <c r="M134" i="2"/>
  <c r="M121" i="2"/>
  <c r="M195" i="2"/>
  <c r="M186" i="2"/>
  <c r="M176" i="2"/>
  <c r="M118" i="2"/>
  <c r="M114" i="2"/>
  <c r="M42" i="2"/>
  <c r="M191" i="2"/>
  <c r="M117" i="2"/>
  <c r="M170" i="2"/>
  <c r="M185" i="2"/>
  <c r="M64" i="2"/>
  <c r="M218" i="2"/>
  <c r="M99" i="2"/>
  <c r="M41" i="2"/>
  <c r="M119" i="2"/>
  <c r="M59" i="2"/>
  <c r="M143" i="2"/>
  <c r="M145" i="2"/>
  <c r="M7" i="2"/>
  <c r="M62" i="2"/>
  <c r="M11" i="2"/>
  <c r="O50" i="2"/>
  <c r="N50" i="2"/>
  <c r="O184" i="2"/>
  <c r="O127" i="2"/>
  <c r="O28" i="2"/>
  <c r="N28" i="2"/>
  <c r="O226" i="2"/>
  <c r="O134" i="2"/>
  <c r="O186" i="2"/>
  <c r="N186" i="2"/>
  <c r="O117" i="2"/>
  <c r="N117" i="2"/>
  <c r="O59" i="2"/>
  <c r="M50" i="2"/>
  <c r="O140" i="2"/>
  <c r="N140" i="2"/>
  <c r="O84" i="2"/>
  <c r="O29" i="2"/>
  <c r="O67" i="2"/>
  <c r="O13" i="2"/>
  <c r="O130" i="2"/>
  <c r="O206" i="2"/>
  <c r="O21" i="2"/>
  <c r="O103" i="2"/>
  <c r="O54" i="2"/>
  <c r="O115" i="2"/>
  <c r="O204" i="2"/>
  <c r="O81" i="2"/>
  <c r="O27" i="2"/>
  <c r="O203" i="2"/>
  <c r="O158" i="2"/>
  <c r="N158" i="2"/>
  <c r="O163" i="2"/>
  <c r="N163" i="2"/>
  <c r="O178" i="2"/>
  <c r="N178" i="2"/>
  <c r="O20" i="2"/>
  <c r="N20" i="2"/>
  <c r="O220" i="2"/>
  <c r="O100" i="2"/>
  <c r="N100" i="2"/>
  <c r="O43" i="2"/>
  <c r="O219" i="2"/>
  <c r="O106" i="2"/>
  <c r="O141" i="2"/>
  <c r="O65" i="2"/>
  <c r="N65" i="2"/>
  <c r="O133" i="2"/>
  <c r="O97" i="2"/>
  <c r="O214" i="2"/>
  <c r="O92" i="2"/>
  <c r="O75" i="2"/>
  <c r="O216" i="2"/>
  <c r="O96" i="2"/>
  <c r="O142" i="2"/>
  <c r="O156" i="2"/>
  <c r="O196" i="2"/>
  <c r="N196" i="2"/>
  <c r="O74" i="2"/>
  <c r="O22" i="2"/>
  <c r="O223" i="2"/>
  <c r="O98" i="2"/>
  <c r="O38" i="2"/>
  <c r="O112" i="2"/>
  <c r="O57" i="2"/>
  <c r="O3" i="2"/>
  <c r="N3" i="2"/>
  <c r="O154" i="2"/>
  <c r="N154" i="2"/>
  <c r="O5" i="2"/>
  <c r="O14" i="2"/>
  <c r="N14" i="2"/>
  <c r="O126" i="2"/>
  <c r="O200" i="2"/>
  <c r="O42" i="2"/>
  <c r="N42" i="2"/>
  <c r="M33" i="2"/>
  <c r="M208" i="2"/>
  <c r="O37" i="2"/>
  <c r="O132" i="2"/>
  <c r="O207" i="2"/>
  <c r="O46" i="2"/>
  <c r="N46" i="2"/>
  <c r="O18" i="2"/>
  <c r="O56" i="2"/>
  <c r="M14" i="2"/>
  <c r="M2" i="2"/>
  <c r="O168" i="2"/>
  <c r="O8" i="2"/>
  <c r="N8" i="2"/>
  <c r="M34" i="2"/>
  <c r="M149" i="2"/>
  <c r="M129" i="2"/>
  <c r="M140" i="2"/>
  <c r="M132" i="2"/>
  <c r="M168" i="2"/>
  <c r="M181" i="2"/>
  <c r="M84" i="2"/>
  <c r="M104" i="2"/>
  <c r="M29" i="2"/>
  <c r="M207" i="2"/>
  <c r="M67" i="2"/>
  <c r="M13" i="2"/>
  <c r="M130" i="2"/>
  <c r="M206" i="2"/>
  <c r="M21" i="2"/>
  <c r="M103" i="2"/>
  <c r="M46" i="2"/>
  <c r="M54" i="2"/>
  <c r="M115" i="2"/>
  <c r="M204" i="2"/>
  <c r="M81" i="2"/>
  <c r="M27" i="2"/>
  <c r="M203" i="2"/>
  <c r="M158" i="2"/>
  <c r="M163" i="2"/>
  <c r="M178" i="2"/>
  <c r="M20" i="2"/>
  <c r="M220" i="2"/>
  <c r="M100" i="2"/>
  <c r="M43" i="2"/>
  <c r="M219" i="2"/>
  <c r="M106" i="2"/>
  <c r="M141" i="2"/>
  <c r="M65" i="2"/>
  <c r="M133" i="2"/>
  <c r="M97" i="2"/>
  <c r="M214" i="2"/>
  <c r="M92" i="2"/>
  <c r="M75" i="2"/>
  <c r="M216" i="2"/>
  <c r="M96" i="2"/>
  <c r="M142" i="2"/>
  <c r="M156" i="2"/>
  <c r="M196" i="2"/>
  <c r="M74" i="2"/>
  <c r="M22" i="2"/>
  <c r="M223" i="2"/>
  <c r="M98" i="2"/>
  <c r="M38" i="2"/>
  <c r="M112" i="2"/>
  <c r="M57" i="2"/>
  <c r="M3" i="2"/>
  <c r="M154" i="2"/>
  <c r="M5" i="2"/>
  <c r="M56" i="2"/>
  <c r="O30" i="2"/>
  <c r="O137" i="2"/>
  <c r="N137" i="2"/>
  <c r="O122" i="2"/>
  <c r="O176" i="2"/>
  <c r="N176" i="2"/>
  <c r="O170" i="2"/>
  <c r="O99" i="2"/>
  <c r="N99" i="2"/>
  <c r="O7" i="2"/>
  <c r="N7" i="2"/>
  <c r="M30" i="2"/>
  <c r="O149" i="2"/>
  <c r="O181" i="2"/>
  <c r="O107" i="2"/>
  <c r="O40" i="2"/>
  <c r="N40" i="2"/>
  <c r="O171" i="2"/>
  <c r="N171" i="2"/>
  <c r="O152" i="2"/>
  <c r="N152" i="2"/>
  <c r="O110" i="2"/>
  <c r="O205" i="2"/>
  <c r="O82" i="2"/>
  <c r="O93" i="2"/>
  <c r="O165" i="2"/>
  <c r="O179" i="2"/>
  <c r="O147" i="2"/>
  <c r="O164" i="2"/>
  <c r="O227" i="2"/>
  <c r="O51" i="2"/>
  <c r="O123" i="2"/>
  <c r="O135" i="2"/>
  <c r="O4" i="2"/>
  <c r="N4" i="2"/>
  <c r="O199" i="2"/>
  <c r="O79" i="2"/>
  <c r="O25" i="2"/>
  <c r="N25" i="2"/>
  <c r="O198" i="2"/>
  <c r="O78" i="2"/>
  <c r="O109" i="2"/>
  <c r="O224" i="2"/>
  <c r="O197" i="2"/>
  <c r="N197" i="2"/>
  <c r="O71" i="2"/>
  <c r="O192" i="2"/>
  <c r="N192" i="2"/>
  <c r="O190" i="2"/>
  <c r="O68" i="2"/>
  <c r="N68" i="2"/>
  <c r="O194" i="2"/>
  <c r="O70" i="2"/>
  <c r="N70" i="2"/>
  <c r="O113" i="2"/>
  <c r="O58" i="2"/>
  <c r="O160" i="2"/>
  <c r="O173" i="2"/>
  <c r="O12" i="2"/>
  <c r="O210" i="2"/>
  <c r="N210" i="2"/>
  <c r="O73" i="2"/>
  <c r="O19" i="2"/>
  <c r="O90" i="2"/>
  <c r="O36" i="2"/>
  <c r="O188" i="2"/>
  <c r="N188" i="2"/>
  <c r="O52" i="2"/>
  <c r="N52" i="2"/>
  <c r="O169" i="2"/>
  <c r="O47" i="2"/>
  <c r="O148" i="2"/>
  <c r="O24" i="2"/>
  <c r="N24" i="2"/>
  <c r="O26" i="2"/>
  <c r="N26" i="2"/>
  <c r="O195" i="2"/>
  <c r="N195" i="2"/>
  <c r="O191" i="2"/>
  <c r="O218" i="2"/>
  <c r="O145" i="2"/>
  <c r="N145" i="2"/>
  <c r="M169" i="2"/>
  <c r="M184" i="2"/>
  <c r="O129" i="2"/>
  <c r="N129" i="2"/>
  <c r="O104" i="2"/>
  <c r="M8" i="2"/>
  <c r="O15" i="2"/>
  <c r="O48" i="2"/>
  <c r="O128" i="2"/>
  <c r="N128" i="2"/>
  <c r="O83" i="2"/>
  <c r="N83" i="2"/>
  <c r="O155" i="2"/>
  <c r="O6" i="2"/>
  <c r="O167" i="2"/>
  <c r="O215" i="2"/>
  <c r="M18" i="2"/>
  <c r="O85" i="2"/>
  <c r="N85" i="2"/>
  <c r="O144" i="2"/>
  <c r="O80" i="2"/>
  <c r="N80" i="2"/>
  <c r="M37" i="2"/>
  <c r="M127" i="2"/>
  <c r="O34" i="2"/>
  <c r="N34" i="2"/>
  <c r="O87" i="2"/>
  <c r="O222" i="2"/>
  <c r="N222" i="2"/>
  <c r="O139" i="2"/>
  <c r="M111" i="2"/>
  <c r="M87" i="2"/>
  <c r="M15" i="2"/>
  <c r="M222" i="2"/>
  <c r="M107" i="2"/>
  <c r="M48" i="2"/>
  <c r="M40" i="2"/>
  <c r="M128" i="2"/>
  <c r="M139" i="2"/>
  <c r="M171" i="2"/>
  <c r="M83" i="2"/>
  <c r="M155" i="2"/>
  <c r="M152" i="2"/>
  <c r="M6" i="2"/>
  <c r="M110" i="2"/>
  <c r="M167" i="2"/>
  <c r="M205" i="2"/>
  <c r="M82" i="2"/>
  <c r="M215" i="2"/>
  <c r="M93" i="2"/>
  <c r="M165" i="2"/>
  <c r="M179" i="2"/>
  <c r="M147" i="2"/>
  <c r="M164" i="2"/>
  <c r="M227" i="2"/>
  <c r="M51" i="2"/>
  <c r="M123" i="2"/>
  <c r="M135" i="2"/>
  <c r="M4" i="2"/>
  <c r="M199" i="2"/>
  <c r="M79" i="2"/>
  <c r="M25" i="2"/>
  <c r="M198" i="2"/>
  <c r="M78" i="2"/>
  <c r="M109" i="2"/>
  <c r="M224" i="2"/>
  <c r="M197" i="2"/>
  <c r="M71" i="2"/>
  <c r="M192" i="2"/>
  <c r="M190" i="2"/>
  <c r="M68" i="2"/>
  <c r="M194" i="2"/>
  <c r="M70" i="2"/>
  <c r="M113" i="2"/>
  <c r="M58" i="2"/>
  <c r="M160" i="2"/>
  <c r="M173" i="2"/>
  <c r="M12" i="2"/>
  <c r="M210" i="2"/>
  <c r="M73" i="2"/>
  <c r="M19" i="2"/>
  <c r="M90" i="2"/>
  <c r="M36" i="2"/>
  <c r="M188" i="2"/>
  <c r="M52" i="2"/>
  <c r="O35" i="2"/>
  <c r="M95" i="2"/>
  <c r="O183" i="2"/>
  <c r="N183" i="2"/>
  <c r="O49" i="2"/>
  <c r="N49" i="2"/>
  <c r="O209" i="2"/>
  <c r="N209" i="2"/>
  <c r="O86" i="2"/>
  <c r="O32" i="2"/>
  <c r="N32" i="2"/>
  <c r="O211" i="2"/>
  <c r="O39" i="2"/>
  <c r="N39" i="2"/>
  <c r="O105" i="2"/>
  <c r="O31" i="2"/>
  <c r="O131" i="2"/>
  <c r="O138" i="2"/>
  <c r="O116" i="2"/>
  <c r="N116" i="2"/>
  <c r="O55" i="2"/>
  <c r="N55" i="2"/>
  <c r="O89" i="2"/>
  <c r="N89" i="2"/>
  <c r="O166" i="2"/>
  <c r="O180" i="2"/>
  <c r="O187" i="2"/>
  <c r="O193" i="2"/>
  <c r="O66" i="2"/>
  <c r="O125" i="2"/>
  <c r="O136" i="2"/>
  <c r="O53" i="2"/>
  <c r="N53" i="2"/>
  <c r="O124" i="2"/>
  <c r="N124" i="2"/>
  <c r="O201" i="2"/>
  <c r="N201" i="2"/>
  <c r="O69" i="2"/>
  <c r="N69" i="2"/>
  <c r="O16" i="2"/>
  <c r="N16" i="2"/>
  <c r="O225" i="2"/>
  <c r="N225" i="2"/>
  <c r="O101" i="2"/>
  <c r="O44" i="2"/>
  <c r="N44" i="2"/>
  <c r="O162" i="2"/>
  <c r="N162" i="2"/>
  <c r="O177" i="2"/>
  <c r="N177" i="2"/>
  <c r="O161" i="2"/>
  <c r="O217" i="2"/>
  <c r="N217" i="2"/>
  <c r="O77" i="2"/>
  <c r="O76" i="2"/>
  <c r="O157" i="2"/>
  <c r="N157" i="2"/>
  <c r="O150" i="2"/>
  <c r="N150" i="2"/>
  <c r="O146" i="2"/>
  <c r="O213" i="2"/>
  <c r="O153" i="2"/>
  <c r="O175" i="2"/>
  <c r="O212" i="2"/>
  <c r="O91" i="2"/>
  <c r="O61" i="2"/>
  <c r="O120" i="2"/>
  <c r="O60" i="2"/>
  <c r="N60" i="2"/>
  <c r="O159" i="2"/>
  <c r="O174" i="2"/>
  <c r="O9" i="2"/>
  <c r="O63" i="2"/>
  <c r="O17" i="2"/>
  <c r="N17" i="2"/>
  <c r="O108" i="2"/>
  <c r="N108" i="2"/>
  <c r="O23" i="2"/>
  <c r="N23" i="2"/>
  <c r="O172" i="2"/>
  <c r="O33" i="2"/>
  <c r="O94" i="2"/>
  <c r="O114" i="2"/>
  <c r="O119" i="2"/>
  <c r="O111" i="2"/>
  <c r="O221" i="2"/>
  <c r="M189" i="2"/>
  <c r="M151" i="2"/>
  <c r="O95" i="2"/>
  <c r="M183" i="2"/>
  <c r="M49" i="2"/>
  <c r="M209" i="2"/>
  <c r="M86" i="2"/>
  <c r="M32" i="2"/>
  <c r="M211" i="2"/>
  <c r="M39" i="2"/>
  <c r="M105" i="2"/>
  <c r="M31" i="2"/>
  <c r="M131" i="2"/>
  <c r="M138" i="2"/>
  <c r="M116" i="2"/>
  <c r="M55" i="2"/>
  <c r="M89" i="2"/>
  <c r="M166" i="2"/>
  <c r="M180" i="2"/>
  <c r="M187" i="2"/>
  <c r="M193" i="2"/>
  <c r="M66" i="2"/>
  <c r="M125" i="2"/>
  <c r="M136" i="2"/>
  <c r="M53" i="2"/>
  <c r="M124" i="2"/>
  <c r="M201" i="2"/>
  <c r="M69" i="2"/>
  <c r="M16" i="2"/>
  <c r="M225" i="2"/>
  <c r="M101" i="2"/>
  <c r="M44" i="2"/>
  <c r="M162" i="2"/>
  <c r="M177" i="2"/>
  <c r="M161" i="2"/>
  <c r="M217" i="2"/>
  <c r="M77" i="2"/>
  <c r="M76" i="2"/>
  <c r="M157" i="2"/>
  <c r="M150" i="2"/>
  <c r="M146" i="2"/>
  <c r="M213" i="2"/>
  <c r="M153" i="2"/>
  <c r="M175" i="2"/>
  <c r="M212" i="2"/>
  <c r="M91" i="2"/>
  <c r="M61" i="2"/>
  <c r="M120" i="2"/>
  <c r="M60" i="2"/>
  <c r="M159" i="2"/>
  <c r="M174" i="2"/>
  <c r="M9" i="2"/>
  <c r="M63" i="2"/>
  <c r="M17" i="2"/>
  <c r="M108" i="2"/>
  <c r="M23" i="2"/>
  <c r="M172" i="2"/>
  <c r="O2" i="2"/>
  <c r="M12" i="1"/>
  <c r="M14" i="1"/>
  <c r="M3" i="1"/>
  <c r="M13" i="1"/>
  <c r="M10" i="1"/>
  <c r="M2" i="1"/>
  <c r="I6" i="4"/>
  <c r="G9" i="4"/>
  <c r="F3" i="4"/>
  <c r="G8" i="4"/>
  <c r="G17" i="4"/>
  <c r="F4" i="4"/>
  <c r="G11" i="4"/>
  <c r="D9" i="4"/>
  <c r="H17" i="4"/>
  <c r="G10" i="4"/>
  <c r="I4" i="4"/>
  <c r="D5" i="4"/>
  <c r="I38" i="4"/>
  <c r="L18" i="4" l="1" a="1"/>
  <c r="L18" i="4" s="1"/>
  <c r="L38" i="4" s="1"/>
  <c r="H18" i="4" a="1"/>
  <c r="H18" i="4" s="1"/>
  <c r="H38" i="4" s="1"/>
  <c r="J18" i="4" a="1"/>
  <c r="J18" i="4" s="1"/>
  <c r="J38" i="4" s="1"/>
  <c r="G18" i="4" a="1"/>
  <c r="G18" i="4" s="1"/>
  <c r="G38" i="4" s="1"/>
  <c r="O302" i="2"/>
  <c r="M302" i="2"/>
  <c r="K302" i="2"/>
  <c r="X54" i="4" s="1"/>
  <c r="N302" i="2"/>
  <c r="D8" i="4"/>
  <c r="A29" i="4"/>
  <c r="A23" i="4"/>
  <c r="A28" i="4"/>
  <c r="R3" i="2"/>
  <c r="W59" i="4" s="1"/>
  <c r="R5" i="2"/>
  <c r="W60" i="4" s="1"/>
  <c r="R4" i="2"/>
  <c r="W58" i="4" s="1"/>
  <c r="A30" i="4"/>
  <c r="A26" i="4"/>
  <c r="A27" i="4"/>
  <c r="A22" i="4"/>
  <c r="A21" i="4"/>
  <c r="A20" i="4"/>
  <c r="A19" i="4"/>
  <c r="A25" i="4"/>
  <c r="A24" i="4"/>
  <c r="R6" i="2" l="1"/>
  <c r="W61" i="4" s="1"/>
  <c r="D14" i="4" a="1"/>
  <c r="D14" i="4" s="1"/>
  <c r="A18" i="4"/>
  <c r="E27" i="10"/>
  <c r="F27" i="10" s="1"/>
  <c r="E4" i="10"/>
  <c r="F4" i="10" s="1"/>
  <c r="D4" i="10" a="1"/>
  <c r="D4" i="10" s="1"/>
  <c r="U4" i="4" s="1"/>
  <c r="E24" i="10"/>
  <c r="F24" i="10" s="1"/>
  <c r="E44" i="10"/>
  <c r="F44" i="10" s="1"/>
  <c r="D44" i="10" a="1"/>
  <c r="D44" i="10" s="1"/>
  <c r="Y10" i="4" s="1"/>
  <c r="E7" i="10"/>
  <c r="F7" i="10" s="1"/>
  <c r="D7" i="10" a="1"/>
  <c r="D7" i="10" s="1"/>
  <c r="U7" i="4" s="1"/>
  <c r="E43" i="10"/>
  <c r="F43" i="10" s="1"/>
  <c r="E32" i="10"/>
  <c r="F32" i="10" s="1"/>
  <c r="E41" i="10"/>
  <c r="D41" i="10" s="1" a="1"/>
  <c r="D41" i="10" s="1"/>
  <c r="Y7" i="4" s="1"/>
  <c r="E22" i="10"/>
  <c r="F22" i="10" s="1"/>
  <c r="E2" i="10"/>
  <c r="F2" i="10" s="1"/>
  <c r="E19" i="10"/>
  <c r="F19" i="10" s="1"/>
  <c r="E18" i="10"/>
  <c r="F18" i="10" s="1"/>
  <c r="K18" i="4" a="1"/>
  <c r="K18" i="4" s="1"/>
  <c r="K38" i="4" s="1"/>
  <c r="E5" i="10"/>
  <c r="F5" i="10" s="1"/>
  <c r="E37" i="10"/>
  <c r="D37" i="10" s="1" a="1"/>
  <c r="D37" i="10" s="1"/>
  <c r="Y3" i="4" s="1"/>
  <c r="E47" i="10"/>
  <c r="F47" i="10" s="1"/>
  <c r="E15" i="10"/>
  <c r="D15" i="10" s="1" a="1"/>
  <c r="D15" i="10" s="1"/>
  <c r="U15" i="4" s="1"/>
  <c r="E46" i="10"/>
  <c r="F46" i="10" s="1"/>
  <c r="E25" i="10"/>
  <c r="F25" i="10" s="1"/>
  <c r="E34" i="10"/>
  <c r="F34" i="10" s="1"/>
  <c r="E3" i="10"/>
  <c r="D3" i="10" s="1" a="1"/>
  <c r="D3" i="10" s="1"/>
  <c r="U3" i="4" s="1"/>
  <c r="C18" i="4" a="1"/>
  <c r="C18" i="4" s="1"/>
  <c r="D39" i="4" s="1"/>
  <c r="E40" i="10"/>
  <c r="F40" i="10" s="1"/>
  <c r="E35" i="10"/>
  <c r="F35" i="10" s="1"/>
  <c r="E42" i="10"/>
  <c r="F42" i="10" s="1"/>
  <c r="E11" i="10"/>
  <c r="F11" i="10" s="1"/>
  <c r="E10" i="10"/>
  <c r="F10" i="10" s="1"/>
  <c r="E38" i="10"/>
  <c r="D38" i="10" s="1" a="1"/>
  <c r="D38" i="10" s="1"/>
  <c r="Y4" i="4" s="1"/>
  <c r="E49" i="10"/>
  <c r="D49" i="10" s="1" a="1"/>
  <c r="D49" i="10" s="1"/>
  <c r="Y15" i="4" s="1"/>
  <c r="E23" i="10"/>
  <c r="D23" i="10" s="1" a="1"/>
  <c r="D23" i="10" s="1"/>
  <c r="W6" i="4" s="1"/>
  <c r="E30" i="10"/>
  <c r="F30" i="10" s="1"/>
  <c r="V27" i="4"/>
  <c r="F13" i="4" s="1"/>
  <c r="E9" i="10"/>
  <c r="F9" i="10" s="1"/>
  <c r="E39" i="10"/>
  <c r="F39" i="10" s="1"/>
  <c r="E45" i="10"/>
  <c r="D45" i="10" s="1" a="1"/>
  <c r="D45" i="10" s="1"/>
  <c r="Y11" i="4" s="1"/>
  <c r="E29" i="10"/>
  <c r="D29" i="10" s="1" a="1"/>
  <c r="D29" i="10" s="1"/>
  <c r="W12" i="4" s="1"/>
  <c r="E50" i="10"/>
  <c r="D50" i="10" s="1" a="1"/>
  <c r="D50" i="10" s="1"/>
  <c r="Y16" i="4" s="1"/>
  <c r="E14" i="10"/>
  <c r="F14" i="10" s="1"/>
  <c r="E28" i="10"/>
  <c r="D28" i="10" s="1" a="1"/>
  <c r="D28" i="10" s="1"/>
  <c r="W11" i="4" s="1"/>
  <c r="E8" i="10"/>
  <c r="D8" i="10" s="1" a="1"/>
  <c r="D8" i="10" s="1"/>
  <c r="U8" i="4" s="1"/>
  <c r="E33" i="10"/>
  <c r="F33" i="10" s="1"/>
  <c r="E18" i="4" a="1"/>
  <c r="E18" i="4" s="1"/>
  <c r="E13" i="10"/>
  <c r="D13" i="10" s="1" a="1"/>
  <c r="D13" i="10" s="1"/>
  <c r="U13" i="4" s="1"/>
  <c r="E20" i="10"/>
  <c r="F20" i="10" s="1"/>
  <c r="E17" i="10"/>
  <c r="D17" i="10" s="1" a="1"/>
  <c r="D17" i="10" s="1"/>
  <c r="U17" i="4" s="1"/>
  <c r="E12" i="10"/>
  <c r="F12" i="10" s="1"/>
  <c r="E48" i="10"/>
  <c r="D48" i="10" s="1" a="1"/>
  <c r="D48" i="10" s="1"/>
  <c r="Y14" i="4" s="1"/>
  <c r="E16" i="10"/>
  <c r="D16" i="10" s="1" a="1"/>
  <c r="D16" i="10" s="1"/>
  <c r="U16" i="4" s="1"/>
  <c r="E21" i="10"/>
  <c r="D21" i="10" s="1" a="1"/>
  <c r="D21" i="10" s="1"/>
  <c r="W4" i="4" s="1"/>
  <c r="E6" i="10"/>
  <c r="D6" i="10" s="1" a="1"/>
  <c r="D6" i="10" s="1"/>
  <c r="U6" i="4" s="1"/>
  <c r="E36" i="10"/>
  <c r="F36" i="10" s="1"/>
  <c r="E31" i="10"/>
  <c r="F31" i="10" s="1"/>
  <c r="E26" i="10"/>
  <c r="F26" i="10" s="1"/>
  <c r="C35" i="10"/>
  <c r="C26" i="10"/>
  <c r="C5" i="10"/>
  <c r="C31" i="10"/>
  <c r="C45" i="10"/>
  <c r="K16" i="1"/>
  <c r="R51" i="2"/>
  <c r="K19" i="1"/>
  <c r="R52" i="2"/>
  <c r="K22" i="1"/>
  <c r="R67" i="2"/>
  <c r="K25" i="1"/>
  <c r="R50" i="2"/>
  <c r="C21" i="10"/>
  <c r="C19" i="10"/>
  <c r="K7" i="1"/>
  <c r="C38" i="10"/>
  <c r="C17" i="10"/>
  <c r="C43" i="10"/>
  <c r="C34" i="10"/>
  <c r="K28" i="1"/>
  <c r="R26" i="2"/>
  <c r="K31" i="1"/>
  <c r="R57" i="2"/>
  <c r="K34" i="1"/>
  <c r="R20" i="2"/>
  <c r="K37" i="1"/>
  <c r="R54" i="2"/>
  <c r="C23" i="10"/>
  <c r="C12" i="10"/>
  <c r="C29" i="10"/>
  <c r="C22" i="10"/>
  <c r="K3" i="1"/>
  <c r="K40" i="1"/>
  <c r="R36" i="2"/>
  <c r="K43" i="1"/>
  <c r="R40" i="2"/>
  <c r="K46" i="1"/>
  <c r="R65" i="2"/>
  <c r="K49" i="1"/>
  <c r="R68" i="2"/>
  <c r="R21" i="2"/>
  <c r="K38" i="1"/>
  <c r="R33" i="2"/>
  <c r="K13" i="1"/>
  <c r="C24" i="10"/>
  <c r="C3" i="10"/>
  <c r="C41" i="10"/>
  <c r="C8" i="10"/>
  <c r="K15" i="1"/>
  <c r="R45" i="2"/>
  <c r="K6" i="1"/>
  <c r="R47" i="2"/>
  <c r="K9" i="1"/>
  <c r="R37" i="2"/>
  <c r="K12" i="1"/>
  <c r="R61" i="2"/>
  <c r="R25" i="2"/>
  <c r="C47" i="10"/>
  <c r="C15" i="10"/>
  <c r="A285" i="2"/>
  <c r="X64" i="4" s="1"/>
  <c r="C20" i="10"/>
  <c r="K27" i="1"/>
  <c r="R38" i="2"/>
  <c r="K18" i="1"/>
  <c r="R34" i="2"/>
  <c r="K21" i="1"/>
  <c r="R29" i="2"/>
  <c r="K24" i="1"/>
  <c r="R62" i="2"/>
  <c r="C40" i="10"/>
  <c r="K4" i="1"/>
  <c r="K10" i="1"/>
  <c r="K50" i="1"/>
  <c r="C36" i="10"/>
  <c r="C48" i="10"/>
  <c r="C27" i="10"/>
  <c r="C6" i="10"/>
  <c r="C32" i="10"/>
  <c r="K39" i="1"/>
  <c r="R30" i="2"/>
  <c r="K30" i="1"/>
  <c r="R24" i="2"/>
  <c r="K33" i="1"/>
  <c r="R55" i="2"/>
  <c r="K36" i="1"/>
  <c r="R35" i="2"/>
  <c r="C28" i="10"/>
  <c r="K44" i="1"/>
  <c r="C33" i="10"/>
  <c r="C13" i="10"/>
  <c r="C18" i="10"/>
  <c r="C44" i="10"/>
  <c r="R66" i="2"/>
  <c r="R43" i="2"/>
  <c r="K42" i="1"/>
  <c r="R32" i="2"/>
  <c r="K45" i="1"/>
  <c r="R59" i="2"/>
  <c r="K48" i="1"/>
  <c r="R27" i="2"/>
  <c r="R41" i="2"/>
  <c r="R28" i="2"/>
  <c r="C39" i="10"/>
  <c r="C25" i="10"/>
  <c r="R53" i="2"/>
  <c r="C30" i="10"/>
  <c r="C285" i="2"/>
  <c r="R44" i="2"/>
  <c r="K5" i="1"/>
  <c r="R60" i="2"/>
  <c r="K8" i="1"/>
  <c r="R48" i="2"/>
  <c r="K11" i="1"/>
  <c r="R49" i="2"/>
  <c r="K2" i="1"/>
  <c r="C7" i="10"/>
  <c r="C14" i="10"/>
  <c r="C50" i="10"/>
  <c r="C37" i="10"/>
  <c r="C4" i="10"/>
  <c r="C42" i="10"/>
  <c r="C10" i="10"/>
  <c r="R42" i="2"/>
  <c r="K17" i="1"/>
  <c r="R23" i="2"/>
  <c r="K20" i="1"/>
  <c r="R46" i="2"/>
  <c r="K23" i="1"/>
  <c r="R39" i="2"/>
  <c r="K14" i="1"/>
  <c r="C2" i="10"/>
  <c r="K41" i="1"/>
  <c r="K47" i="1"/>
  <c r="R22" i="2"/>
  <c r="C11" i="10"/>
  <c r="C49" i="10"/>
  <c r="C16" i="10"/>
  <c r="C46" i="10"/>
  <c r="C9" i="10"/>
  <c r="R31" i="2"/>
  <c r="K29" i="1"/>
  <c r="R56" i="2"/>
  <c r="K32" i="1"/>
  <c r="R58" i="2"/>
  <c r="K35" i="1"/>
  <c r="R63" i="2"/>
  <c r="K26" i="1"/>
  <c r="R64" i="2"/>
  <c r="D43" i="10" l="1" a="1"/>
  <c r="D43" i="10" s="1"/>
  <c r="Y9" i="4" s="1"/>
  <c r="D24" i="10" a="1"/>
  <c r="D24" i="10" s="1"/>
  <c r="W7" i="4" s="1"/>
  <c r="D2" i="10" a="1"/>
  <c r="D2" i="10" s="1"/>
  <c r="U2" i="4" s="1"/>
  <c r="H2" i="10"/>
  <c r="I2" i="10"/>
  <c r="I3" i="10"/>
  <c r="H3" i="10"/>
  <c r="H18" i="10"/>
  <c r="I18" i="10"/>
  <c r="H32" i="10"/>
  <c r="I32" i="10"/>
  <c r="I33" i="10"/>
  <c r="H33" i="10"/>
  <c r="I12" i="10"/>
  <c r="H12" i="10"/>
  <c r="H17" i="10"/>
  <c r="I17" i="10"/>
  <c r="H50" i="10"/>
  <c r="I50" i="10"/>
  <c r="I49" i="10"/>
  <c r="H49" i="10"/>
  <c r="I27" i="10"/>
  <c r="H27" i="10"/>
  <c r="I23" i="10"/>
  <c r="H23" i="10"/>
  <c r="H38" i="10"/>
  <c r="I38" i="10"/>
  <c r="I45" i="10"/>
  <c r="H45" i="10"/>
  <c r="I37" i="10"/>
  <c r="H37" i="10"/>
  <c r="H14" i="10"/>
  <c r="I14" i="10"/>
  <c r="I39" i="10"/>
  <c r="H39" i="10"/>
  <c r="I13" i="10"/>
  <c r="H13" i="10"/>
  <c r="H16" i="10"/>
  <c r="I16" i="10"/>
  <c r="H6" i="10"/>
  <c r="I6" i="10"/>
  <c r="I11" i="10"/>
  <c r="H11" i="10"/>
  <c r="H28" i="10"/>
  <c r="I28" i="10"/>
  <c r="I48" i="10"/>
  <c r="H48" i="10"/>
  <c r="H31" i="10"/>
  <c r="I31" i="10"/>
  <c r="H40" i="10"/>
  <c r="I40" i="10"/>
  <c r="I9" i="10"/>
  <c r="H9" i="10"/>
  <c r="I46" i="10"/>
  <c r="H46" i="10"/>
  <c r="H43" i="10"/>
  <c r="I43" i="10"/>
  <c r="I10" i="10"/>
  <c r="H10" i="10"/>
  <c r="I36" i="10"/>
  <c r="H36" i="10"/>
  <c r="H19" i="10"/>
  <c r="I19" i="10"/>
  <c r="H5" i="10"/>
  <c r="I5" i="10"/>
  <c r="D34" i="10" a="1"/>
  <c r="D34" i="10" s="1"/>
  <c r="W17" i="4" s="1"/>
  <c r="I34" i="10"/>
  <c r="H34" i="10"/>
  <c r="I15" i="10"/>
  <c r="H15" i="10"/>
  <c r="I24" i="10"/>
  <c r="H24" i="10"/>
  <c r="I22" i="10"/>
  <c r="H22" i="10"/>
  <c r="H29" i="10"/>
  <c r="I29" i="10"/>
  <c r="H42" i="10"/>
  <c r="I42" i="10"/>
  <c r="H20" i="10"/>
  <c r="I20" i="10"/>
  <c r="I21" i="10"/>
  <c r="H21" i="10"/>
  <c r="H26" i="10"/>
  <c r="I26" i="10"/>
  <c r="H4" i="10"/>
  <c r="I4" i="10"/>
  <c r="H8" i="10"/>
  <c r="I8" i="10"/>
  <c r="I35" i="10"/>
  <c r="H35" i="10"/>
  <c r="D25" i="10" a="1"/>
  <c r="D25" i="10" s="1"/>
  <c r="W8" i="4" s="1"/>
  <c r="H41" i="10"/>
  <c r="I41" i="10"/>
  <c r="I47" i="10"/>
  <c r="H47" i="10"/>
  <c r="H30" i="10"/>
  <c r="I30" i="10"/>
  <c r="H7" i="10"/>
  <c r="I7" i="10"/>
  <c r="I25" i="10"/>
  <c r="H25" i="10"/>
  <c r="H44" i="10"/>
  <c r="I44" i="10"/>
  <c r="D47" i="10" a="1"/>
  <c r="D47" i="10" s="1"/>
  <c r="Y13" i="4" s="1"/>
  <c r="F23" i="10"/>
  <c r="D18" i="10" a="1"/>
  <c r="D18" i="10" s="1"/>
  <c r="U18" i="4" s="1"/>
  <c r="F49" i="10"/>
  <c r="D19" i="10" a="1"/>
  <c r="D19" i="10" s="1"/>
  <c r="W2" i="4" s="1"/>
  <c r="D35" i="10" a="1"/>
  <c r="D35" i="10" s="1"/>
  <c r="W18" i="4" s="1"/>
  <c r="D30" i="10" a="1"/>
  <c r="D30" i="10" s="1"/>
  <c r="W13" i="4" s="1"/>
  <c r="D10" i="10" a="1"/>
  <c r="D10" i="10" s="1"/>
  <c r="U10" i="4" s="1"/>
  <c r="F28" i="10"/>
  <c r="D5" i="10" a="1"/>
  <c r="D5" i="10" s="1"/>
  <c r="U5" i="4" s="1"/>
  <c r="D22" i="10" a="1"/>
  <c r="D22" i="10" s="1"/>
  <c r="W5" i="4" s="1"/>
  <c r="D11" i="10" a="1"/>
  <c r="D11" i="10" s="1"/>
  <c r="U11" i="4" s="1"/>
  <c r="F29" i="10"/>
  <c r="F6" i="10"/>
  <c r="F8" i="10"/>
  <c r="F3" i="10"/>
  <c r="K13" i="4"/>
  <c r="L13" i="4" s="1" a="1"/>
  <c r="L13" i="4" s="1"/>
  <c r="F38" i="10"/>
  <c r="I13" i="4"/>
  <c r="E38" i="4"/>
  <c r="T32" i="4"/>
  <c r="T33" i="4"/>
  <c r="H39" i="4"/>
  <c r="L39" i="4"/>
  <c r="J39" i="4"/>
  <c r="F17" i="10"/>
  <c r="D15" i="4" a="1"/>
  <c r="D15" i="4" s="1"/>
  <c r="F50" i="10"/>
  <c r="D9" i="10" a="1"/>
  <c r="D9" i="10" s="1"/>
  <c r="U9" i="4" s="1"/>
  <c r="D40" i="10" a="1"/>
  <c r="D40" i="10" s="1"/>
  <c r="Y6" i="4" s="1"/>
  <c r="D36" i="10" a="1"/>
  <c r="D36" i="10" s="1"/>
  <c r="Y2" i="4" s="1"/>
  <c r="D31" i="10" a="1"/>
  <c r="D31" i="10" s="1"/>
  <c r="W14" i="4" s="1"/>
  <c r="D33" i="10" a="1"/>
  <c r="D33" i="10" s="1"/>
  <c r="W16" i="4" s="1"/>
  <c r="D42" i="10" a="1"/>
  <c r="D42" i="10" s="1"/>
  <c r="Y8" i="4" s="1"/>
  <c r="D46" i="10" a="1"/>
  <c r="D46" i="10" s="1"/>
  <c r="Y12" i="4" s="1"/>
  <c r="D32" i="10" a="1"/>
  <c r="D32" i="10" s="1"/>
  <c r="W15" i="4" s="1"/>
  <c r="F21" i="10"/>
  <c r="D20" i="10" a="1"/>
  <c r="D20" i="10" s="1"/>
  <c r="W3" i="4" s="1"/>
  <c r="D39" i="10" a="1"/>
  <c r="D39" i="10" s="1"/>
  <c r="Y5" i="4" s="1"/>
  <c r="F48" i="10"/>
  <c r="F37" i="10"/>
  <c r="F41" i="10"/>
  <c r="D14" i="10" a="1"/>
  <c r="D14" i="10" s="1"/>
  <c r="U14" i="4" s="1"/>
  <c r="F16" i="10"/>
  <c r="F13" i="10"/>
  <c r="D26" i="10" a="1"/>
  <c r="D26" i="10" s="1"/>
  <c r="W9" i="4" s="1"/>
  <c r="F45" i="10"/>
  <c r="F15" i="10"/>
  <c r="D27" i="10" a="1"/>
  <c r="D27" i="10" s="1"/>
  <c r="W10" i="4" s="1"/>
  <c r="D12" i="10" a="1"/>
  <c r="D12" i="10" s="1"/>
  <c r="U12" i="4" s="1"/>
  <c r="D13" i="4"/>
  <c r="K14" i="4" l="1" a="1"/>
  <c r="K1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Jc Maravilla</author>
  </authors>
  <commentList>
    <comment ref="D3" authorId="0" shapeId="0" xr:uid="{6C8D4CE4-3644-45F8-B1D1-0A3A9639AAD8}">
      <text>
        <r>
          <rPr>
            <b/>
            <sz val="9"/>
            <color indexed="81"/>
            <rFont val="Tahoma"/>
            <family val="2"/>
          </rPr>
          <t>Note:</t>
        </r>
        <r>
          <rPr>
            <sz val="9"/>
            <color indexed="81"/>
            <rFont val="Tahoma"/>
            <family val="2"/>
          </rPr>
          <t xml:space="preserve">
Insert user name here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Jc Maravilla</author>
  </authors>
  <commentList>
    <comment ref="G1" authorId="0" shapeId="0" xr:uid="{D78B768C-69BB-4DD4-B162-8E7423D57541}">
      <text>
        <r>
          <rPr>
            <b/>
            <sz val="9"/>
            <color indexed="81"/>
            <rFont val="Tahoma"/>
            <family val="2"/>
          </rPr>
          <t>Note:</t>
        </r>
        <r>
          <rPr>
            <sz val="9"/>
            <color indexed="81"/>
            <rFont val="Tahoma"/>
            <family val="2"/>
          </rPr>
          <t xml:space="preserve">
Autogenerated email based on cells</t>
        </r>
      </text>
    </comment>
    <comment ref="H1" authorId="0" shapeId="0" xr:uid="{28560B7F-F7BD-466C-B943-C22D1404FF05}">
      <text>
        <r>
          <rPr>
            <b/>
            <sz val="9"/>
            <color indexed="81"/>
            <rFont val="Tahoma"/>
            <family val="2"/>
          </rPr>
          <t>Note:</t>
        </r>
        <r>
          <rPr>
            <sz val="9"/>
            <color indexed="81"/>
            <rFont val="Tahoma"/>
            <family val="2"/>
          </rPr>
          <t xml:space="preserve">
Autogenerated random string</t>
        </r>
      </text>
    </comment>
    <comment ref="K1" authorId="0" shapeId="0" xr:uid="{5A74EC42-4853-4EB4-8BCC-C4279ECB5DAA}">
      <text>
        <r>
          <rPr>
            <b/>
            <sz val="9"/>
            <color indexed="81"/>
            <rFont val="Tahoma"/>
            <family val="2"/>
          </rPr>
          <t>Note:</t>
        </r>
        <r>
          <rPr>
            <sz val="9"/>
            <color indexed="81"/>
            <rFont val="Tahoma"/>
            <family val="2"/>
          </rPr>
          <t xml:space="preserve">
Look up most recent payout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Jc Maravilla</author>
  </authors>
  <commentList>
    <comment ref="G1" authorId="0" shapeId="0" xr:uid="{ABFC204B-25D9-495C-8F9A-8CF262299CB9}">
      <text>
        <r>
          <rPr>
            <b/>
            <sz val="9"/>
            <color indexed="81"/>
            <rFont val="Tahoma"/>
            <family val="2"/>
          </rPr>
          <t>Note:</t>
        </r>
        <r>
          <rPr>
            <sz val="9"/>
            <color indexed="81"/>
            <rFont val="Tahoma"/>
            <family val="2"/>
          </rPr>
          <t xml:space="preserve">
1=100%</t>
        </r>
        <r>
          <rPr>
            <b/>
            <sz val="9"/>
            <color indexed="81"/>
            <rFont val="Tahoma"/>
            <family val="2"/>
          </rPr>
          <t xml:space="preserve">
</t>
        </r>
      </text>
    </comment>
    <comment ref="K1" authorId="0" shapeId="0" xr:uid="{A58D83D5-F75B-447E-B854-D1215528198B}">
      <text>
        <r>
          <rPr>
            <b/>
            <sz val="9"/>
            <color indexed="81"/>
            <rFont val="Tahoma"/>
            <family val="2"/>
          </rPr>
          <t>Note:</t>
        </r>
        <r>
          <rPr>
            <sz val="9"/>
            <color indexed="81"/>
            <rFont val="Tahoma"/>
            <family val="2"/>
          </rPr>
          <t xml:space="preserve">
Total - manager - outsource = user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<sst xmlns="http://schemas.openxmlformats.org/spreadsheetml/2006/main" count="1364" uniqueCount="382">
  <si>
    <t>Libang Guild</t>
  </si>
  <si>
    <t>Current Date</t>
  </si>
  <si>
    <t>Last Payout Performance</t>
  </si>
  <si>
    <t>User Information</t>
  </si>
  <si>
    <t>Next Payouts Table</t>
  </si>
  <si>
    <t>Raze</t>
  </si>
  <si>
    <t>Reinne</t>
  </si>
  <si>
    <t>Anons</t>
  </si>
  <si>
    <t>IGN:</t>
  </si>
  <si>
    <t>Full Name:</t>
  </si>
  <si>
    <t>Payout Method</t>
  </si>
  <si>
    <t>Saksa</t>
  </si>
  <si>
    <t>Tranquil</t>
  </si>
  <si>
    <t>Andreii</t>
  </si>
  <si>
    <t>User Number:</t>
  </si>
  <si>
    <t>Sex:</t>
  </si>
  <si>
    <t>Name</t>
  </si>
  <si>
    <t>Timado</t>
  </si>
  <si>
    <t>Obsi</t>
  </si>
  <si>
    <t>Carl</t>
  </si>
  <si>
    <t>Discord:</t>
  </si>
  <si>
    <t>Phone Number</t>
  </si>
  <si>
    <t>Account Number</t>
  </si>
  <si>
    <t>Tims</t>
  </si>
  <si>
    <t>Xin</t>
  </si>
  <si>
    <t>Kian</t>
  </si>
  <si>
    <t>Started:</t>
  </si>
  <si>
    <t>Sam</t>
  </si>
  <si>
    <t>Hammer</t>
  </si>
  <si>
    <t>Haruhi</t>
  </si>
  <si>
    <t>Axie Infinity Account Informatiion</t>
  </si>
  <si>
    <t>Mania</t>
  </si>
  <si>
    <t>Pix</t>
  </si>
  <si>
    <t>Ash</t>
  </si>
  <si>
    <t>Manager:</t>
  </si>
  <si>
    <t>Log-in Email:</t>
  </si>
  <si>
    <t>Hao</t>
  </si>
  <si>
    <t>Bleak</t>
  </si>
  <si>
    <t>Suru</t>
  </si>
  <si>
    <t>Guild:</t>
  </si>
  <si>
    <t>Log-in Password:</t>
  </si>
  <si>
    <t>Fenrir</t>
  </si>
  <si>
    <t>Captn</t>
  </si>
  <si>
    <t>Lillo</t>
  </si>
  <si>
    <t>Cut (U,O,M)</t>
  </si>
  <si>
    <t>Axie Ronin:</t>
  </si>
  <si>
    <t>Borax</t>
  </si>
  <si>
    <t>Arth</t>
  </si>
  <si>
    <t>Jgm</t>
  </si>
  <si>
    <t>(User-Outsource-Manager)</t>
  </si>
  <si>
    <t>Axies Link:</t>
  </si>
  <si>
    <t>Allysa</t>
  </si>
  <si>
    <t>Dott</t>
  </si>
  <si>
    <t>Oman</t>
  </si>
  <si>
    <t>Statistics</t>
  </si>
  <si>
    <t>Jogo</t>
  </si>
  <si>
    <t>Dond</t>
  </si>
  <si>
    <t>Uys</t>
  </si>
  <si>
    <t>Total SLP Farmed</t>
  </si>
  <si>
    <t>Career Duration</t>
  </si>
  <si>
    <t>User Payout AVG</t>
  </si>
  <si>
    <t>Last (2) PO AVG</t>
  </si>
  <si>
    <t>Tavo</t>
  </si>
  <si>
    <t>Duck</t>
  </si>
  <si>
    <t>Smite</t>
  </si>
  <si>
    <t>Total Php</t>
  </si>
  <si>
    <t>Next Payout:</t>
  </si>
  <si>
    <t>·</t>
  </si>
  <si>
    <t>All Payout AVG</t>
  </si>
  <si>
    <t>Action</t>
  </si>
  <si>
    <t>Bulba</t>
  </si>
  <si>
    <t>Quelin</t>
  </si>
  <si>
    <t>Fore</t>
  </si>
  <si>
    <t>Daily SLP Average</t>
  </si>
  <si>
    <t>Arise</t>
  </si>
  <si>
    <t>Toxi</t>
  </si>
  <si>
    <t>Vole</t>
  </si>
  <si>
    <t>Record of Transactions</t>
  </si>
  <si>
    <t>Mane</t>
  </si>
  <si>
    <t>Mik</t>
  </si>
  <si>
    <t>Dinn</t>
  </si>
  <si>
    <t>#</t>
  </si>
  <si>
    <t>Transaction Number</t>
  </si>
  <si>
    <t>Date</t>
  </si>
  <si>
    <t>SLP Farmed</t>
  </si>
  <si>
    <t>SLP Price</t>
  </si>
  <si>
    <t>Outsource's SLP</t>
  </si>
  <si>
    <t>Outsource's Php</t>
  </si>
  <si>
    <t>Manager's SLP</t>
  </si>
  <si>
    <t>Manager's PHP</t>
  </si>
  <si>
    <t>Canto</t>
  </si>
  <si>
    <t>Alpha</t>
  </si>
  <si>
    <t>Wrath</t>
  </si>
  <si>
    <t>Yosh</t>
  </si>
  <si>
    <t>No</t>
  </si>
  <si>
    <r>
      <t xml:space="preserve">Data Holders </t>
    </r>
    <r>
      <rPr>
        <i/>
        <sz val="10"/>
        <color theme="1"/>
        <rFont val="Segoe UI"/>
        <family val="2"/>
      </rPr>
      <t>(Don’t Delete)</t>
    </r>
  </si>
  <si>
    <t>Career in Days</t>
  </si>
  <si>
    <t>Next Payout</t>
  </si>
  <si>
    <t>Chart Name</t>
  </si>
  <si>
    <t>Backup</t>
  </si>
  <si>
    <t>Transactions:</t>
  </si>
  <si>
    <t xml:space="preserve"> </t>
  </si>
  <si>
    <t>Scholar SLP</t>
  </si>
  <si>
    <t>Outsource SLP</t>
  </si>
  <si>
    <t>Manager SLP</t>
  </si>
  <si>
    <t>Scholar Php</t>
  </si>
  <si>
    <t>Outsource Php</t>
  </si>
  <si>
    <t>Manager Php</t>
  </si>
  <si>
    <t>Total Net</t>
  </si>
  <si>
    <t>Total Staff</t>
  </si>
  <si>
    <t>Total Scholars</t>
  </si>
  <si>
    <t>Total Transactions</t>
  </si>
  <si>
    <t>user_number</t>
  </si>
  <si>
    <t>in-game_name</t>
  </si>
  <si>
    <t>full_name</t>
  </si>
  <si>
    <t>gender</t>
  </si>
  <si>
    <t>discord</t>
  </si>
  <si>
    <t>axie_email</t>
  </si>
  <si>
    <t>axie_password</t>
  </si>
  <si>
    <t>reffered_by</t>
  </si>
  <si>
    <t>date_started</t>
  </si>
  <si>
    <t>date_last_payout</t>
  </si>
  <si>
    <t>payout_days_interval</t>
  </si>
  <si>
    <t>manager</t>
  </si>
  <si>
    <t>guild_name</t>
  </si>
  <si>
    <t>user_take</t>
  </si>
  <si>
    <t>outsource_take</t>
  </si>
  <si>
    <t>manager_take</t>
  </si>
  <si>
    <t>axie_ronin_id</t>
  </si>
  <si>
    <t>axies_link</t>
  </si>
  <si>
    <t>Dan Cooper</t>
  </si>
  <si>
    <t>Male</t>
  </si>
  <si>
    <t>Founder</t>
  </si>
  <si>
    <t>LibangGuild</t>
  </si>
  <si>
    <t>ronin:dad19b1c7afda06495dabdae8bc76aafd46d190a</t>
  </si>
  <si>
    <t>https://marketplace.axieinfinity.com/profile/ronin:dad19b1c7afda06495dabdae8bc76aafd46d190a/axie/</t>
  </si>
  <si>
    <t>Althea San Franciso</t>
  </si>
  <si>
    <t>Female</t>
  </si>
  <si>
    <t>Co-Founder</t>
  </si>
  <si>
    <t>ronin:27b14826c87203f2a0ba53e48711dc3c3acda48a</t>
  </si>
  <si>
    <t>https://marketplace.axieinfinity.com/profile/ronin:27b14826c87203f2a0ba53e48711dc3c3acda48a</t>
  </si>
  <si>
    <t>Jacob Williams</t>
  </si>
  <si>
    <t>ronin:90fca54c277de3bfae59109ede50ed9de68b0004</t>
  </si>
  <si>
    <t>https://marketplace.axieinfinity.com/profile/ronin:90fca54c277de3bfae59109ede50ed9de68b0004/axie</t>
  </si>
  <si>
    <t>Mathew Rodriguez</t>
  </si>
  <si>
    <t>Direct Hire</t>
  </si>
  <si>
    <t>Johnson#0774</t>
  </si>
  <si>
    <t>JohnsonCo</t>
  </si>
  <si>
    <t>ronin:ab4305c3a861f259afc46c719842e3e5370abaf1</t>
  </si>
  <si>
    <t>https://marketplace.axieinfinity.com/profile/ronin:ab4305c3a861f259afc46c719842e3e5370abaf1/axie</t>
  </si>
  <si>
    <t>Samantha Davis</t>
  </si>
  <si>
    <t>Snow#1524</t>
  </si>
  <si>
    <t>GrAndSn</t>
  </si>
  <si>
    <t>ronin:525d13d8d322eb7e7ed6fcc69b8317621aedd821</t>
  </si>
  <si>
    <t>https://marketplace.axieinfinity.com/profile/ronin:525d13d8d322eb7e7ed6fcc69b8317621aedd821/axie</t>
  </si>
  <si>
    <t>Gabriel Brown</t>
  </si>
  <si>
    <t>ROMAHR#7320</t>
  </si>
  <si>
    <t>Roma</t>
  </si>
  <si>
    <t>ronin:c45c77b9357fbde6f763fa5fcca78f2ef15fbdb1</t>
  </si>
  <si>
    <t>https://marketplace.axieinfinity.com/profile/ronin:c45c77b9357fbde6f763fa5fcca78f2ef15fbdb1/axie</t>
  </si>
  <si>
    <t>Andrea Wilson</t>
  </si>
  <si>
    <t>ronin:126594890936e43baab4ecf5cbe11ec923aef161</t>
  </si>
  <si>
    <t>https://marketplace.axieinfinity.com/profile/ronin:126594890936e43baab4ecf5cbe11ec923aef161/axie</t>
  </si>
  <si>
    <t>Dennis Smith</t>
  </si>
  <si>
    <t>inAbsentia#3318</t>
  </si>
  <si>
    <t>inAbstensia</t>
  </si>
  <si>
    <t>ronin:d7f19ecf9a28add323db76d091748630221f2bc7</t>
  </si>
  <si>
    <t>https://marketplace.axieinfinity.com/profile/ronin:d7f19ecf9a28add323db76d091748630221f2bc7/axie</t>
  </si>
  <si>
    <t>Jose Jones</t>
  </si>
  <si>
    <t>ronin:5bae63b9fd7f46ae3916c2e0ed9e907403286fb3</t>
  </si>
  <si>
    <t>https://marketplace.axieinfinity.com/profile/ronin:5bae63b9fd7f46ae3916c2e0ed9e907403286fb3/axie/</t>
  </si>
  <si>
    <t>Rita Garcia</t>
  </si>
  <si>
    <t>Jzii#0782</t>
  </si>
  <si>
    <t>JziiCorp</t>
  </si>
  <si>
    <t>ronin:19b2887c229116e3bc0f8759b03bfcf737213e74</t>
  </si>
  <si>
    <t>https://marketplace.axieinfinity.com/profile/ronin:19b2887c229116e3bc0f8759b03bfcf737213e74/axie</t>
  </si>
  <si>
    <t>Ramon Anderson</t>
  </si>
  <si>
    <t>Kim Gonzales</t>
  </si>
  <si>
    <t>ronin:04370ba5573d41e417b52a267ff08955f8e2dfe6</t>
  </si>
  <si>
    <t>https://marketplace.axieinfinity.com/profile/ronin:04370ba5573d41e417b52a267ff08955f8e2dfe6/axie/</t>
  </si>
  <si>
    <t>Arnel Miller</t>
  </si>
  <si>
    <t>ronin:fd2a42ecce80a5b48cd11a2ef606a1de13931406</t>
  </si>
  <si>
    <t>https://marketplace.axieinfinity.com/profile/ronin:fd2a42ecce80a5b48cd11a2ef606a1de13931406/axie/</t>
  </si>
  <si>
    <t>Regine Taylor</t>
  </si>
  <si>
    <t>Dermes#6499</t>
  </si>
  <si>
    <t>Baba</t>
  </si>
  <si>
    <t>ronin:482db8e7f6aa2d202c889ce96595897d2a39e2f0</t>
  </si>
  <si>
    <t>https://marketplace.axieinfinity.com/profile/ronin:482db8e7f6aa2d202c889ce96595897d2a39e2f0/axie</t>
  </si>
  <si>
    <t>Marcus Martinez</t>
  </si>
  <si>
    <t>ronin:d41b755cce842242a662107992e7a16ab65dc7bb</t>
  </si>
  <si>
    <t>https://marketplace.axieinfinity.com/profile/ronin:d41b755cce842242a662107992e7a16ab65dc7bb/axie</t>
  </si>
  <si>
    <t>Tino Lopez</t>
  </si>
  <si>
    <t>ronin:c36487c999ca6c85218c918b42e9158121763641</t>
  </si>
  <si>
    <t>https://marketplace.axieinfinity.com/profile/ronin:c36487c999ca6c85218c918b42e9158121763641/axie</t>
  </si>
  <si>
    <t>Miko Thomas</t>
  </si>
  <si>
    <t>ronin:1923a53d4959b7869f8ce50b4afbda4c0af4a06f</t>
  </si>
  <si>
    <t>https://marketplace.axieinfinity.com/profile/ronin:1923a53d4959b7869f8ce50b4afbda4c0af4a06f</t>
  </si>
  <si>
    <t>Wendy Harris</t>
  </si>
  <si>
    <t>ronin:86794347fa04b61bf3d8968b6528f7317950258</t>
  </si>
  <si>
    <t>https://marketplace.axieinfinity.com/profile/ronin:86794347fa04b61bf3d8968b6528f7317950258</t>
  </si>
  <si>
    <t>Alex Clark</t>
  </si>
  <si>
    <t>ronin:be236d46659a2223ee54b9be9d8df337240d52d8</t>
  </si>
  <si>
    <t>https://marketplace.axieinfinity.com/profile/ronin:be236d46659a2223ee54b9be9d8df337240d52d8</t>
  </si>
  <si>
    <t>Gil Walker</t>
  </si>
  <si>
    <t>ronin:8f0a333ab222d9d2d290974ab910ec6ca18c889b</t>
  </si>
  <si>
    <t>https://marketplace.axieinfinity.com/profile/ronin:8f0a333ab222d9d2d290974ab910ec6ca18c889b</t>
  </si>
  <si>
    <t>Hermes Scott</t>
  </si>
  <si>
    <t>https://marketplace.axieinfinity.com/profile/ronin:be236d46659a2223ee54b9be9d8df337240d52d8/axie</t>
  </si>
  <si>
    <t>Jake Hill</t>
  </si>
  <si>
    <t>Mario Adams</t>
  </si>
  <si>
    <t>ronin:8a20c325efff66ef37f782c1bb0fd24206ed89ac</t>
  </si>
  <si>
    <t>https://marketplace.axieinfinity.com/profile/ronin:8a20c325efff66ef37f782c1bb0fd24206ed89ac/axie</t>
  </si>
  <si>
    <t>Melissa Rivera</t>
  </si>
  <si>
    <t>CyberKongz#1337</t>
  </si>
  <si>
    <t>InfinityScho</t>
  </si>
  <si>
    <t>ronin:aea4803022849eb2a8a864eb8671a401ed40781d</t>
  </si>
  <si>
    <t>https://marketplace.axieinfinity.com/profile/ronin:aea4803022849eb2a8a864eb8671a401ed40781d</t>
  </si>
  <si>
    <t>Vilfredo Campbell</t>
  </si>
  <si>
    <t>https://marketplace.axieinfinity.com/profile/ronin:aea4803022849eb2a8a864eb8671a401ed40781d/axie</t>
  </si>
  <si>
    <t>Anthony Carter</t>
  </si>
  <si>
    <t>ronin:fa63f311b9c5eb0e92357449396ee32700130c11</t>
  </si>
  <si>
    <t>https://marketplace.axieinfinity.com/profile/ronin:fa63f311b9c5eb0e92357449396ee32700130c11</t>
  </si>
  <si>
    <t>Tassia Philips</t>
  </si>
  <si>
    <t>AlanASG#0285</t>
  </si>
  <si>
    <t>ASG</t>
  </si>
  <si>
    <t>ronin:339d7c28687c83eec9c525e02d53b8b0ba81a570</t>
  </si>
  <si>
    <t>https://marketplace.axieinfinity.com/profile/ronin:339d7c28687c83eec9c525e02d53b8b0ba81a570/axie</t>
  </si>
  <si>
    <t>Daniel Evans</t>
  </si>
  <si>
    <t>Lester Turner</t>
  </si>
  <si>
    <t>ronin:24c4bd8bb905a5ac6da1a707012e297ffa3c6fc3</t>
  </si>
  <si>
    <t>https://marketplace.axieinfinity.com/profile/ronin:24c4bd8bb905a5ac6da1a707012e297ffa3c6fc3</t>
  </si>
  <si>
    <t>Jocelyn Diaz</t>
  </si>
  <si>
    <t>Miguel Parker</t>
  </si>
  <si>
    <t>ronin:732e276223f193ab3cf187006c9db41be55c1a5c</t>
  </si>
  <si>
    <t>https://marketplace.axieinfinity.com/profile/ronin:732e276223f193ab3cf187006c9db41be55c1a5c/axie</t>
  </si>
  <si>
    <t>Francis Cruz</t>
  </si>
  <si>
    <t>Erica Morris</t>
  </si>
  <si>
    <t>Angelo Morales</t>
  </si>
  <si>
    <t>ronin:5ae8e73df287b0dfccc1e9f6bc2b5f8e507bcba7</t>
  </si>
  <si>
    <t>https://marketplace.axieinfinity.com/profile/ronin:5ae8e73df287b0dfccc1e9f6bc2b5f8e507bcba7</t>
  </si>
  <si>
    <t>Anne Morgan</t>
  </si>
  <si>
    <t>Kirk Cooper</t>
  </si>
  <si>
    <t>Shifumi#7465</t>
  </si>
  <si>
    <t>Sealand</t>
  </si>
  <si>
    <t>ronin:c0de1e98d0ee1b6b755529d0b8ac3c22c291cc82</t>
  </si>
  <si>
    <t>https://marketplace.axieinfinity.com/profile/ronin:c0de1e98d0ee1b6b755529d0b8ac3c22c291cc82/axie</t>
  </si>
  <si>
    <t>Carlos Ward</t>
  </si>
  <si>
    <t>Joy Chavez</t>
  </si>
  <si>
    <t>Necrolic#3980</t>
  </si>
  <si>
    <t>ronin:e947ec1b7b66ec4bfccccd11d5448181aa5039b0</t>
  </si>
  <si>
    <t>https://marketplace.axieinfinity.com/profile/ronin:e947ec1b7b66ec4bfccccd11d5448181aa5039b0/axie</t>
  </si>
  <si>
    <t>Kyla Gray</t>
  </si>
  <si>
    <t>ronin:88c11614b95655a799d9907838913c3af27efe81</t>
  </si>
  <si>
    <t>https://marketplace.axieinfinity.com/profile/ronin:88c11614b95655a799d9907838913c3af27efe81</t>
  </si>
  <si>
    <t>Oliver Bennet</t>
  </si>
  <si>
    <t>ronin:0d7d78499a9568097cc08daf3f65f53c1ad5c1aa</t>
  </si>
  <si>
    <t>https://marketplace.axieinfinity.com/profile/ronin:0d7d78499a9568097cc08daf3f65f53c1ad5c1aa/axie</t>
  </si>
  <si>
    <t>Jack Sanders</t>
  </si>
  <si>
    <t>ronin:be439a2e161a5c25a6b99c6435b1f6480e2ebf55</t>
  </si>
  <si>
    <t>https://marketplace.axieinfinity.com/profile/ronin:be439a2e161a5c25a6b99c6435b1f6480e2ebf55/axie</t>
  </si>
  <si>
    <t>Frances Patel</t>
  </si>
  <si>
    <t>ronin:23a5bd6ce096f9e7830fc8224bf45b4f6d72e0bf</t>
  </si>
  <si>
    <t>https://marketplace.axieinfinity.com/profile/ronin:23a5bd6ce096f9e7830fc8224bf45b4f6d72e0bf/axie</t>
  </si>
  <si>
    <t>Ethan Ross</t>
  </si>
  <si>
    <t>Austin Myers</t>
  </si>
  <si>
    <t>ronin:4f3b992f95216caed0c36ef5e5c236793e7968f8</t>
  </si>
  <si>
    <t>https://marketplace.axieinfinity.com/profile/ronin:4f3b992f95216caed0c36ef5e5c236793e7968f8</t>
  </si>
  <si>
    <t>Helen Brooks</t>
  </si>
  <si>
    <t>ronin:a4be7c7625eedfe90190d2947f3412133c05e115</t>
  </si>
  <si>
    <t>https://marketplace.axieinfinity.com/profile/ronin:a4be7c7625eedfe90190d2947f3412133c05e115</t>
  </si>
  <si>
    <t>Laura Reed</t>
  </si>
  <si>
    <t>ronin:f52b0d526088567f0be8f8c84e81f7caef9c199c</t>
  </si>
  <si>
    <t>https://marketplace.axieinfinity.com/profile/ronin:f52b0d526088567f0be8f8c84e81f7caef9c199c</t>
  </si>
  <si>
    <t>Ralph Mitchell</t>
  </si>
  <si>
    <t>https://marketplace.axieinfinity.com/profile/ronin:525d13d8d322eb7e7ed6fcc69b8317621aedd821/</t>
  </si>
  <si>
    <t>Edwin Baker</t>
  </si>
  <si>
    <t>Frank Wright</t>
  </si>
  <si>
    <t>https://marketplace.axieinfinity.com/profile/ronin:d41b755cce842242a662107992e7a16ab65dc7bb</t>
  </si>
  <si>
    <t>method</t>
  </si>
  <si>
    <t>name</t>
  </si>
  <si>
    <t>account_number</t>
  </si>
  <si>
    <t>phone_number</t>
  </si>
  <si>
    <t>Ronin</t>
  </si>
  <si>
    <t>Gcash</t>
  </si>
  <si>
    <t>N/A</t>
  </si>
  <si>
    <t>ronin:436a1f288180c4016d9b9f35fda337d442934787</t>
  </si>
  <si>
    <t>ronin:9c2038fccfbd9635d036bbfdada14347b628373f</t>
  </si>
  <si>
    <t>ronin:296f92c6c93ec83c1359c5fe9ce6b9bef6480ffa</t>
  </si>
  <si>
    <t>ronin:8330d3dd3ace7f4a1d9803ea408faced7fb3a960</t>
  </si>
  <si>
    <t>BPI</t>
  </si>
  <si>
    <t>Metro Bank</t>
  </si>
  <si>
    <t>Nick Carter</t>
  </si>
  <si>
    <t>BDO</t>
  </si>
  <si>
    <t>ronin:1f2a86ab99e61232375d660c36d3fdbe05087cac</t>
  </si>
  <si>
    <t>ronin:bfc335a6886da3e6eaa90e24d096e4a8b662f148</t>
  </si>
  <si>
    <t>ronin:55b4320fe19acd7147a94660a84688784176dec8</t>
  </si>
  <si>
    <t>ronin:64681a72ec82f56e9611a061b1b0fad143ddd9b3</t>
  </si>
  <si>
    <t>ronin:e6c91f2291a55d6152d892c49fee441ffea4f6f1</t>
  </si>
  <si>
    <t>Land Bank</t>
  </si>
  <si>
    <t>Kathy Gray</t>
  </si>
  <si>
    <t>ronin:c5b5077bd8e91f9cafc288c975e563f5b0600db5</t>
  </si>
  <si>
    <t>ronin:575dcca0bc5a08220e4d7f817d7b96b4a92735d3</t>
  </si>
  <si>
    <t>Monica Brooks</t>
  </si>
  <si>
    <t>Not Applicable</t>
  </si>
  <si>
    <t>transaction_number</t>
  </si>
  <si>
    <t>date</t>
  </si>
  <si>
    <t>slp_farmed</t>
  </si>
  <si>
    <t>slp_price</t>
  </si>
  <si>
    <t>outsource_slp</t>
  </si>
  <si>
    <t>user_slp</t>
  </si>
  <si>
    <t>manager_slp</t>
  </si>
  <si>
    <t>outsource_php</t>
  </si>
  <si>
    <t>user_php</t>
  </si>
  <si>
    <t>manager_php</t>
  </si>
  <si>
    <t>net</t>
  </si>
  <si>
    <t>Cut Calculator</t>
  </si>
  <si>
    <t>User %</t>
  </si>
  <si>
    <t>Outsource %</t>
  </si>
  <si>
    <t>Users Cut</t>
  </si>
  <si>
    <t>Outsource Cut</t>
  </si>
  <si>
    <t>Managers Cut</t>
  </si>
  <si>
    <t>Count of Records</t>
  </si>
  <si>
    <t>lifetime_slp</t>
  </si>
  <si>
    <t>slp_last_payout</t>
  </si>
  <si>
    <t>last_payout</t>
  </si>
  <si>
    <t>next_payout</t>
  </si>
  <si>
    <t>career_duration</t>
  </si>
  <si>
    <t>lifetime_monthly_slp_average</t>
  </si>
  <si>
    <t>lifetime_daily_slp_average</t>
  </si>
  <si>
    <t>Legends</t>
  </si>
  <si>
    <t>Bottom 10</t>
  </si>
  <si>
    <t>10 Upcoming</t>
  </si>
  <si>
    <t>Top 1-5</t>
  </si>
  <si>
    <t>Top 10</t>
  </si>
  <si>
    <t>Top 6-10</t>
  </si>
  <si>
    <t/>
  </si>
  <si>
    <t>Monthly Average SLP Price</t>
  </si>
  <si>
    <t>Monthly Average SLP Farmed</t>
  </si>
  <si>
    <t>Total SLP Monthly</t>
  </si>
  <si>
    <t>User Monthly</t>
  </si>
  <si>
    <t>2021</t>
  </si>
  <si>
    <t>2022</t>
  </si>
  <si>
    <t>Grand Total</t>
  </si>
  <si>
    <t>Jul</t>
  </si>
  <si>
    <t>Row Labels</t>
  </si>
  <si>
    <t>Aug</t>
  </si>
  <si>
    <t>Sep</t>
  </si>
  <si>
    <t>Oct</t>
  </si>
  <si>
    <t>Nov</t>
  </si>
  <si>
    <t>Dec</t>
  </si>
  <si>
    <t>Jan</t>
  </si>
  <si>
    <t>Feb</t>
  </si>
  <si>
    <t>Sum of slp_farmed</t>
  </si>
  <si>
    <t>What is Libang Axie Infinity?</t>
  </si>
  <si>
    <t>Libang Axie Infinity is a Discord server founded (2021) by Jc Maravilla along with close friends to serve as a gaming community during the pandemic, Libang is a bicol word which means "to have fun", which was the goal of community, may it be through games or voice chats.</t>
  </si>
  <si>
    <t>What is Axie Infinity?</t>
  </si>
  <si>
    <t>Axie Infinity is a Crypto Game developed by Sky Mavis, It is a blockchain game that utilizes cryptocurrency such as SLP and AXS, this tokens can be earned and spent in the in-game economy, this tokens can also be sold for real life currency through binance and other platforms.</t>
  </si>
  <si>
    <t>Axies can be compared to "Pokemons", each axie has its unique attribute and skills that dictate the player experience through the game.</t>
  </si>
  <si>
    <t>Axies typically cost around ₱10,000 to ₱30,000 during its boom in popularity, each team consists or 3 axies minimum.</t>
  </si>
  <si>
    <t>What is SLP?</t>
  </si>
  <si>
    <t>Playing the game earns you cryptocurrency, SLP which stands for Smooth Love Potion, is used to breed Axies to produce new Axies, the game has a loop like structure to encourage playing the game and welcoming new players into the community.</t>
  </si>
  <si>
    <t>What is Axie Infinity Scholarships?</t>
  </si>
  <si>
    <t>Since there was a steep cost of entry to play the game, Scholarships were introduced, it is the process of players (called managers) lending axies to another players (called scholars) for them to play it and receive a portion of its earnings.</t>
  </si>
  <si>
    <t>Guilds were set-up and soon after, the game gained high popularity in third-world countries such as Philippines, Venezuela, Brazil, etc.</t>
  </si>
  <si>
    <t>I started as a scholar during June of 2021 and focused on saving up to have my own Axies as well.</t>
  </si>
  <si>
    <t>During July of 2021, I saw an issue that I can help, Many of my friends who are to my knowledge and confidence that can play the game, cannot obtain Axie Scholarships.</t>
  </si>
  <si>
    <t>It was due to how they cannot confidently and profeciently converse in English, talking to Managers was very integral in attaining scholarships.</t>
  </si>
  <si>
    <t>I started to convert the discord community to Libang Axie Infinity (formerly Libang Guild)</t>
  </si>
  <si>
    <t>Because I am confident in interviews and looking for Managers, I had an idea to be an Outsource Manager.</t>
  </si>
  <si>
    <t>I took care of looking for scholarships, Inform them of the strategy that I am taking (outsourcing).</t>
  </si>
  <si>
    <t>My strategy was</t>
  </si>
  <si>
    <t>1. Look for scholarship</t>
  </si>
  <si>
    <t>2. If both manager and my friends agree with the terms (earnings percentage)</t>
  </si>
  <si>
    <t>3. Guide the scholar through the game</t>
  </si>
  <si>
    <t>4. Handle payouts</t>
  </si>
  <si>
    <t>Throughout the duration of the popularity of the game, I had accumulated a total of 46 scholars, handling their requests, and payouts.</t>
  </si>
  <si>
    <t>Libang Axie Infinity Database</t>
  </si>
  <si>
    <t>I understood that I will be processing numerous amount of data, I knew I had to keep track of it.</t>
  </si>
  <si>
    <t>(Early itterations of the database was in Google Sheets"</t>
  </si>
  <si>
    <t>I have made this excel for my staff and I to make managing our scholars with ease, It also served as a learning opportunity for me, I am so proud of what I made and is excited of what else I can create.</t>
  </si>
  <si>
    <t>Huge thanks to the Libang Community!</t>
  </si>
  <si>
    <t>Schema Diagram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</si>
</sst>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0000"/>
    <numFmt numFmtId="165" formatCode="_-[$₱-464]* #,##0.00_-;\-[$₱-464]* #,##0.00_-;_-[$₱-464]* &quot;-&quot;??_-;_-@_-"/>
    <numFmt numFmtId="166" formatCode="000"/>
    <numFmt numFmtId="167" formatCode="_(* #,##0_);_(* \(#,##0\);_(* &quot;-&quot;??_);_(@_)"/>
    <numFmt numFmtId="168" formatCode="[$₱-464]#,##0"/>
    <numFmt numFmtId="169" formatCode="00000000000"/>
    <numFmt numFmtId="170" formatCode="[$₱-3409]#,##0.00"/>
    <numFmt numFmtId="171" formatCode="_(* #,##0.0_);_(* \(#,##0.0\);_(* &quot;-&quot;??_);_(@_)"/>
    <numFmt numFmtId="172" formatCode="_-[$₱-3409]* #,##0.00_-;\-[$₱-3409]* #,##0.00_-;_-[$₱-3409]* &quot;-&quot;??_-;_-@_-"/>
    <numFmt numFmtId="173" formatCode="[$₱-3409]#,##0"/>
    <numFmt numFmtId="174" formatCode="_-[$₱-3409]* #,##0_-;\-[$₱-3409]* #,##0_-;_-[$₱-3409]* &quot;-&quot;??_-;_-@_-"/>
  </numFmts>
  <fonts count="39" x14ac:knownFonts="1">
    <font>
      <sz val="11"/>
      <color theme="1"/>
      <name val="Calibri"/>
      <family val="2"/>
      <scheme val="minor"/>
    </font>
    <font>
      <u/>
      <sz val="11"/>
      <color theme="10"/>
      <name val="Calibri"/>
      <family val="2"/>
      <scheme val="minor"/>
    </font>
    <font>
      <sz val="8"/>
      <name val="Calibri"/>
      <family val="2"/>
      <scheme val="minor"/>
    </font>
    <font>
      <sz val="11"/>
      <color theme="1"/>
      <name val="Calibri"/>
      <family val="2"/>
      <scheme val="minor"/>
    </font>
    <font>
      <sz val="9"/>
      <color indexed="81"/>
      <name val="Tahoma"/>
      <family val="2"/>
    </font>
    <font>
      <b/>
      <sz val="9"/>
      <color indexed="81"/>
      <name val="Tahoma"/>
      <family val="2"/>
    </font>
    <font>
      <sz val="10"/>
      <color theme="1"/>
      <name val="Segoe UI"/>
      <family val="2"/>
    </font>
    <font>
      <b/>
      <sz val="10"/>
      <color theme="1"/>
      <name val="Segoe UI"/>
      <family val="2"/>
    </font>
    <font>
      <sz val="10"/>
      <color theme="4" tint="-0.249977111117893"/>
      <name val="Segoe UI"/>
      <family val="2"/>
    </font>
    <font>
      <sz val="11"/>
      <color theme="1"/>
      <name val="Segoe UI"/>
      <family val="2"/>
    </font>
    <font>
      <sz val="10"/>
      <color rgb="FFFF0000"/>
      <name val="Segoe UI"/>
      <family val="2"/>
    </font>
    <font>
      <sz val="10"/>
      <color theme="5" tint="-0.499984740745262"/>
      <name val="Segoe UI"/>
      <family val="2"/>
    </font>
    <font>
      <i/>
      <sz val="8"/>
      <color theme="8" tint="-0.249977111117893"/>
      <name val="Segoe UI"/>
      <family val="2"/>
    </font>
    <font>
      <u/>
      <sz val="10"/>
      <color theme="10"/>
      <name val="Segoe UI"/>
      <family val="2"/>
    </font>
    <font>
      <u/>
      <sz val="10"/>
      <color rgb="FF1155CC"/>
      <name val="Segoe UI"/>
      <family val="2"/>
    </font>
    <font>
      <sz val="11"/>
      <color theme="4" tint="0.39997558519241921"/>
      <name val="Segoe UI"/>
      <family val="2"/>
    </font>
    <font>
      <sz val="9"/>
      <color theme="1"/>
      <name val="Segoe UI"/>
      <family val="2"/>
    </font>
    <font>
      <sz val="10"/>
      <color theme="1"/>
      <name val="Segoe UI Semibold"/>
      <family val="2"/>
    </font>
    <font>
      <i/>
      <sz val="10"/>
      <color theme="4" tint="-0.499984740745262"/>
      <name val="Segoe UI"/>
      <family val="2"/>
    </font>
    <font>
      <i/>
      <sz val="10"/>
      <color rgb="FF002060"/>
      <name val="Segoe UI"/>
      <family val="2"/>
    </font>
    <font>
      <sz val="10"/>
      <color theme="8" tint="-0.499984740745262"/>
      <name val="Segoe UI"/>
      <family val="2"/>
    </font>
    <font>
      <sz val="8"/>
      <color theme="1"/>
      <name val="Segoe UI"/>
      <family val="2"/>
    </font>
    <font>
      <b/>
      <sz val="11"/>
      <color theme="1"/>
      <name val="Segoe UI"/>
      <family val="2"/>
    </font>
    <font>
      <sz val="11"/>
      <color rgb="FF16073E"/>
      <name val="Segoe UI Semibold"/>
      <family val="2"/>
    </font>
    <font>
      <i/>
      <sz val="10"/>
      <color theme="1"/>
      <name val="Segoe UI"/>
      <family val="2"/>
    </font>
    <font>
      <sz val="9.5"/>
      <color theme="1"/>
      <name val="Segoe UI"/>
      <family val="2"/>
    </font>
    <font>
      <i/>
      <sz val="8"/>
      <color theme="4" tint="-0.249977111117893"/>
      <name val="Segoe UI"/>
      <family val="2"/>
    </font>
    <font>
      <sz val="8"/>
      <color theme="4" tint="-0.499984740745262"/>
      <name val="Segoe UI"/>
      <family val="2"/>
    </font>
    <font>
      <sz val="10"/>
      <name val="Segoe UI"/>
      <family val="2"/>
    </font>
    <font>
      <i/>
      <sz val="8"/>
      <color theme="0" tint="-0.14999847407452621"/>
      <name val="Segoe UI"/>
      <family val="2"/>
    </font>
    <font>
      <sz val="10"/>
      <color theme="0"/>
      <name val="Segoe UI"/>
      <family val="2"/>
    </font>
    <font>
      <sz val="10"/>
      <color theme="0"/>
      <name val="Segoe UI Semibold"/>
      <family val="2"/>
    </font>
    <font>
      <sz val="10"/>
      <color rgb="FF16073E"/>
      <name val="Segoe UI Semibold"/>
      <family val="2"/>
    </font>
    <font>
      <sz val="9"/>
      <color rgb="FFFF0000"/>
      <name val="Segoe UI"/>
      <family val="2"/>
    </font>
    <font>
      <sz val="10"/>
      <color rgb="FF0070C0"/>
      <name val="Segoe UI"/>
      <family val="2"/>
    </font>
    <font>
      <i/>
      <sz val="13"/>
      <color theme="1"/>
      <name val="Segoe UI Semibold"/>
      <family val="2"/>
    </font>
    <font>
      <sz val="11"/>
      <color theme="1"/>
      <name val="Segoe UI"/>
    </font>
    <font>
      <sz val="9"/>
      <color theme="1"/>
      <name val="Segoe UI"/>
    </font>
    <font>
      <b/>
      <sz val="13"/>
      <color theme="3"/>
      <name val="Calibri"/>
      <family val="2"/>
      <scheme val="minor"/>
    </font>
  </fonts>
  <fills count="12">
    <fill>
      <patternFill patternType="none"/>
    </fill>
    <fill>
      <patternFill patternType="gray125"/>
    </fill>
    <fill>
      <patternFill patternType="solid">
        <fgColor theme="4" tint="0.39997558519241921"/>
        <bgColor indexed="64"/>
      </patternFill>
    </fill>
    <fill>
      <patternFill patternType="solid">
        <fgColor rgb="FFED7D31"/>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bgColor indexed="64"/>
      </patternFill>
    </fill>
    <fill>
      <patternFill patternType="solid">
        <fgColor rgb="FFC6EFCE"/>
        <bgColor indexed="64"/>
      </patternFill>
    </fill>
    <fill>
      <patternFill patternType="solid">
        <fgColor rgb="FFFFEB9C"/>
        <bgColor indexed="64"/>
      </patternFill>
    </fill>
    <fill>
      <patternFill patternType="solid">
        <fgColor rgb="FFFFC7CE"/>
        <bgColor indexed="64"/>
      </patternFill>
    </fill>
    <fill>
      <patternFill patternType="solid">
        <fgColor rgb="FF8F45C7"/>
        <bgColor indexed="64"/>
      </patternFill>
    </fill>
    <fill>
      <patternFill patternType="solid">
        <fgColor rgb="FFFFC000"/>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hair">
        <color indexed="64"/>
      </top>
      <bottom/>
      <diagonal/>
    </border>
    <border>
      <left style="hair">
        <color indexed="64"/>
      </left>
      <right style="thin">
        <color indexed="64"/>
      </right>
      <top style="hair">
        <color indexed="64"/>
      </top>
      <bottom/>
      <diagonal/>
    </border>
    <border>
      <left style="thin">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style="thin">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thin">
        <color indexed="64"/>
      </bottom>
      <diagonal/>
    </border>
    <border>
      <left style="thin">
        <color indexed="64"/>
      </left>
      <right style="thin">
        <color indexed="64"/>
      </right>
      <top style="thin">
        <color theme="4" tint="-0.499984740745262"/>
      </top>
      <bottom style="hair">
        <color indexed="64"/>
      </bottom>
      <diagonal/>
    </border>
    <border>
      <left style="thin">
        <color indexed="64"/>
      </left>
      <right style="thin">
        <color indexed="64"/>
      </right>
      <top style="hair">
        <color indexed="64"/>
      </top>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medium">
        <color theme="4" tint="-0.499984740745262"/>
      </left>
      <right/>
      <top/>
      <bottom/>
      <diagonal/>
    </border>
    <border>
      <left/>
      <right style="medium">
        <color theme="4" tint="-0.499984740745262"/>
      </right>
      <top/>
      <bottom/>
      <diagonal/>
    </border>
    <border>
      <left style="medium">
        <color theme="4" tint="-0.499984740745262"/>
      </left>
      <right/>
      <top/>
      <bottom style="medium">
        <color theme="4" tint="-0.499984740745262"/>
      </bottom>
      <diagonal/>
    </border>
    <border>
      <left/>
      <right/>
      <top/>
      <bottom style="medium">
        <color theme="4" tint="-0.499984740745262"/>
      </bottom>
      <diagonal/>
    </border>
    <border>
      <left/>
      <right style="medium">
        <color theme="4" tint="-0.499984740745262"/>
      </right>
      <top/>
      <bottom style="medium">
        <color theme="4" tint="-0.499984740745262"/>
      </bottom>
      <diagonal/>
    </border>
    <border>
      <left style="medium">
        <color theme="4" tint="-0.499984740745262"/>
      </left>
      <right/>
      <top style="medium">
        <color theme="4" tint="-0.499984740745262"/>
      </top>
      <bottom style="medium">
        <color theme="4" tint="-0.499984740745262"/>
      </bottom>
      <diagonal/>
    </border>
    <border>
      <left/>
      <right/>
      <top style="medium">
        <color theme="4" tint="-0.499984740745262"/>
      </top>
      <bottom style="medium">
        <color theme="4" tint="-0.499984740745262"/>
      </bottom>
      <diagonal/>
    </border>
    <border>
      <left/>
      <right style="medium">
        <color theme="4" tint="-0.499984740745262"/>
      </right>
      <top style="medium">
        <color theme="4" tint="-0.499984740745262"/>
      </top>
      <bottom style="medium">
        <color theme="4" tint="-0.499984740745262"/>
      </bottom>
      <diagonal/>
    </border>
    <border>
      <left/>
      <right/>
      <top/>
      <bottom style="thick">
        <color theme="4" tint="0.499984740745262"/>
      </bottom>
      <diagonal/>
    </border>
  </borders>
  <cellStyleXfs count="5">
    <xf numFmtId="0" fontId="0" fillId="0" borderId="0"/>
    <xf numFmtId="0" fontId="1" fillId="0" borderId="0" applyNumberFormat="0" applyFill="0" applyBorder="0" applyAlignment="0" applyProtection="0"/>
    <xf numFmtId="43" fontId="3" fillId="0" borderId="0" applyFont="0" applyFill="0" applyBorder="0" applyAlignment="0" applyProtection="0"/>
    <xf numFmtId="9" fontId="3" fillId="0" borderId="0" applyFont="0" applyFill="0" applyBorder="0" applyAlignment="0" applyProtection="0"/>
    <xf numFmtId="0" fontId="38" fillId="0" borderId="56" applyNumberFormat="0" applyFill="0" applyAlignment="0" applyProtection="0"/>
  </cellStyleXfs>
  <cellXfs count="263">
    <xf numFmtId="0" fontId="0" fillId="0" borderId="0" xfId="0"/>
    <xf numFmtId="0" fontId="6" fillId="0" borderId="0" xfId="0" applyFont="1" applyAlignment="1">
      <alignment vertical="center"/>
    </xf>
    <xf numFmtId="0" fontId="6" fillId="0" borderId="0" xfId="0" applyFont="1" applyAlignment="1">
      <alignment horizontal="center" vertical="center"/>
    </xf>
    <xf numFmtId="14" fontId="6" fillId="0" borderId="0" xfId="0" applyNumberFormat="1" applyFont="1" applyAlignment="1">
      <alignment vertical="center"/>
    </xf>
    <xf numFmtId="0" fontId="9" fillId="0" borderId="0" xfId="0" applyFont="1"/>
    <xf numFmtId="0" fontId="9" fillId="0" borderId="0" xfId="0" applyFont="1" applyAlignment="1">
      <alignment vertical="center"/>
    </xf>
    <xf numFmtId="0" fontId="15" fillId="0" borderId="0" xfId="0" applyFont="1" applyAlignment="1">
      <alignment vertical="center"/>
    </xf>
    <xf numFmtId="0" fontId="9" fillId="0" borderId="0" xfId="0" applyFont="1" applyAlignment="1">
      <alignment horizontal="center" vertical="center"/>
    </xf>
    <xf numFmtId="172" fontId="6" fillId="0" borderId="0" xfId="0" applyNumberFormat="1" applyFont="1" applyAlignment="1">
      <alignment vertical="center"/>
    </xf>
    <xf numFmtId="1" fontId="19" fillId="0" borderId="10" xfId="0" applyNumberFormat="1" applyFont="1" applyBorder="1" applyAlignment="1">
      <alignment vertical="center"/>
    </xf>
    <xf numFmtId="1" fontId="19" fillId="0" borderId="11" xfId="0" applyNumberFormat="1" applyFont="1" applyBorder="1" applyAlignment="1">
      <alignment vertical="center"/>
    </xf>
    <xf numFmtId="172" fontId="19" fillId="0" borderId="0" xfId="0" applyNumberFormat="1" applyFont="1" applyAlignment="1">
      <alignment vertical="center"/>
    </xf>
    <xf numFmtId="172" fontId="19" fillId="0" borderId="13" xfId="0" applyNumberFormat="1" applyFont="1" applyBorder="1" applyAlignment="1">
      <alignment vertical="center"/>
    </xf>
    <xf numFmtId="1" fontId="19" fillId="0" borderId="12" xfId="0" applyNumberFormat="1" applyFont="1" applyBorder="1" applyAlignment="1">
      <alignment vertical="center"/>
    </xf>
    <xf numFmtId="1" fontId="19" fillId="0" borderId="0" xfId="0" applyNumberFormat="1" applyFont="1" applyAlignment="1">
      <alignment vertical="center"/>
    </xf>
    <xf numFmtId="164" fontId="6" fillId="0" borderId="0" xfId="0" applyNumberFormat="1" applyFont="1" applyAlignment="1">
      <alignment vertical="center"/>
    </xf>
    <xf numFmtId="0" fontId="6" fillId="0" borderId="15" xfId="0" applyFont="1" applyBorder="1" applyAlignment="1">
      <alignment vertical="center"/>
    </xf>
    <xf numFmtId="14" fontId="6" fillId="0" borderId="15" xfId="0" applyNumberFormat="1" applyFont="1" applyBorder="1" applyAlignment="1">
      <alignment vertical="center"/>
    </xf>
    <xf numFmtId="172" fontId="6" fillId="0" borderId="15" xfId="0" applyNumberFormat="1" applyFont="1" applyBorder="1" applyAlignment="1">
      <alignment vertical="center"/>
    </xf>
    <xf numFmtId="0" fontId="7" fillId="0" borderId="0" xfId="0" applyFont="1" applyAlignment="1">
      <alignment horizontal="center" vertical="center"/>
    </xf>
    <xf numFmtId="0" fontId="6" fillId="0" borderId="0" xfId="0" applyFont="1" applyAlignment="1">
      <alignment horizontal="right"/>
    </xf>
    <xf numFmtId="0" fontId="8" fillId="0" borderId="0" xfId="0" applyFont="1" applyAlignment="1">
      <alignment vertical="center"/>
    </xf>
    <xf numFmtId="0" fontId="17" fillId="0" borderId="12" xfId="0" applyFont="1" applyBorder="1" applyAlignment="1">
      <alignment vertical="center"/>
    </xf>
    <xf numFmtId="0" fontId="17" fillId="0" borderId="0" xfId="0" applyFont="1" applyAlignment="1">
      <alignment vertical="center"/>
    </xf>
    <xf numFmtId="0" fontId="6" fillId="0" borderId="13" xfId="0" applyFont="1" applyBorder="1" applyAlignment="1">
      <alignment vertical="center"/>
    </xf>
    <xf numFmtId="0" fontId="10" fillId="0" borderId="0" xfId="0" applyFont="1" applyAlignment="1">
      <alignment vertical="center"/>
    </xf>
    <xf numFmtId="0" fontId="11" fillId="0" borderId="0" xfId="0" applyFont="1" applyAlignment="1">
      <alignment vertical="center"/>
    </xf>
    <xf numFmtId="0" fontId="17" fillId="0" borderId="14" xfId="0" applyFont="1" applyBorder="1" applyAlignment="1">
      <alignment vertical="center"/>
    </xf>
    <xf numFmtId="0" fontId="17" fillId="0" borderId="15" xfId="0" applyFont="1" applyBorder="1" applyAlignment="1">
      <alignment vertical="center"/>
    </xf>
    <xf numFmtId="0" fontId="6" fillId="0" borderId="16" xfId="0" applyFont="1" applyBorder="1" applyAlignment="1">
      <alignment vertical="center"/>
    </xf>
    <xf numFmtId="0" fontId="6" fillId="0" borderId="14" xfId="0" applyFont="1" applyBorder="1" applyAlignment="1">
      <alignment vertical="center"/>
    </xf>
    <xf numFmtId="167" fontId="11" fillId="0" borderId="0" xfId="2" applyNumberFormat="1" applyFont="1" applyFill="1" applyAlignment="1">
      <alignment vertical="center"/>
    </xf>
    <xf numFmtId="167" fontId="6" fillId="0" borderId="0" xfId="2" applyNumberFormat="1" applyFont="1" applyFill="1" applyAlignment="1">
      <alignment vertical="center"/>
    </xf>
    <xf numFmtId="43" fontId="6" fillId="0" borderId="0" xfId="2" applyFont="1" applyFill="1" applyAlignment="1">
      <alignment vertical="center"/>
    </xf>
    <xf numFmtId="171" fontId="6" fillId="0" borderId="0" xfId="2" applyNumberFormat="1" applyFont="1" applyFill="1" applyAlignment="1">
      <alignment vertical="center"/>
    </xf>
    <xf numFmtId="43" fontId="6" fillId="0" borderId="0" xfId="0" applyNumberFormat="1" applyFont="1" applyAlignment="1">
      <alignment vertical="center"/>
    </xf>
    <xf numFmtId="0" fontId="21" fillId="0" borderId="0" xfId="0" applyFont="1" applyAlignment="1">
      <alignment vertical="center"/>
    </xf>
    <xf numFmtId="0" fontId="17" fillId="0" borderId="10" xfId="0" applyFont="1" applyBorder="1" applyAlignment="1">
      <alignment vertical="center"/>
    </xf>
    <xf numFmtId="0" fontId="17" fillId="0" borderId="11" xfId="0" applyFont="1" applyBorder="1" applyAlignment="1">
      <alignment vertical="center"/>
    </xf>
    <xf numFmtId="0" fontId="6" fillId="0" borderId="11" xfId="0" applyFont="1" applyBorder="1" applyAlignment="1">
      <alignment vertical="center"/>
    </xf>
    <xf numFmtId="0" fontId="17" fillId="0" borderId="11" xfId="0" applyFont="1" applyBorder="1" applyAlignment="1">
      <alignment horizontal="left" vertical="center"/>
    </xf>
    <xf numFmtId="0" fontId="17" fillId="0" borderId="0" xfId="0" applyFont="1" applyAlignment="1">
      <alignment horizontal="left" vertical="center"/>
    </xf>
    <xf numFmtId="0" fontId="6" fillId="0" borderId="20" xfId="0" applyFont="1" applyBorder="1" applyAlignment="1">
      <alignment horizontal="center" vertical="center"/>
    </xf>
    <xf numFmtId="0" fontId="16" fillId="0" borderId="11" xfId="0" applyFont="1" applyBorder="1" applyAlignment="1">
      <alignment horizontal="left" vertical="center"/>
    </xf>
    <xf numFmtId="0" fontId="6" fillId="0" borderId="21" xfId="0" applyFont="1" applyBorder="1" applyAlignment="1">
      <alignment horizontal="center" vertical="center"/>
    </xf>
    <xf numFmtId="167" fontId="6" fillId="0" borderId="15" xfId="2" applyNumberFormat="1" applyFont="1" applyFill="1" applyBorder="1" applyAlignment="1">
      <alignment vertical="center"/>
    </xf>
    <xf numFmtId="167" fontId="6" fillId="0" borderId="21" xfId="2" applyNumberFormat="1" applyFont="1" applyFill="1" applyBorder="1" applyAlignment="1">
      <alignment vertical="center"/>
    </xf>
    <xf numFmtId="166" fontId="6" fillId="0" borderId="0" xfId="0" applyNumberFormat="1" applyFont="1" applyAlignment="1">
      <alignment vertical="center"/>
    </xf>
    <xf numFmtId="168" fontId="6" fillId="0" borderId="0" xfId="0" applyNumberFormat="1" applyFont="1" applyAlignment="1">
      <alignment vertical="center"/>
    </xf>
    <xf numFmtId="0" fontId="6" fillId="0" borderId="22" xfId="0" applyFont="1" applyBorder="1" applyAlignment="1">
      <alignment horizontal="center" vertical="center"/>
    </xf>
    <xf numFmtId="14" fontId="6" fillId="0" borderId="20" xfId="0" applyNumberFormat="1" applyFont="1" applyBorder="1" applyAlignment="1">
      <alignment vertical="center"/>
    </xf>
    <xf numFmtId="14" fontId="6" fillId="0" borderId="22" xfId="0" applyNumberFormat="1" applyFont="1" applyBorder="1" applyAlignment="1">
      <alignment vertical="center"/>
    </xf>
    <xf numFmtId="173" fontId="6" fillId="0" borderId="16" xfId="2" applyNumberFormat="1" applyFont="1" applyFill="1" applyBorder="1" applyAlignment="1">
      <alignment vertical="center"/>
    </xf>
    <xf numFmtId="0" fontId="6" fillId="0" borderId="10" xfId="0" applyFont="1" applyBorder="1" applyAlignment="1">
      <alignment vertical="center"/>
    </xf>
    <xf numFmtId="168" fontId="6" fillId="0" borderId="17" xfId="0" applyNumberFormat="1" applyFont="1" applyBorder="1" applyAlignment="1">
      <alignment vertical="center"/>
    </xf>
    <xf numFmtId="0" fontId="6" fillId="0" borderId="12" xfId="0" applyFont="1" applyBorder="1" applyAlignment="1">
      <alignment vertical="center"/>
    </xf>
    <xf numFmtId="168" fontId="6" fillId="0" borderId="13" xfId="0" applyNumberFormat="1" applyFont="1" applyBorder="1" applyAlignment="1">
      <alignment vertical="center"/>
    </xf>
    <xf numFmtId="167" fontId="6" fillId="0" borderId="14" xfId="2" applyNumberFormat="1" applyFont="1" applyFill="1" applyBorder="1" applyAlignment="1">
      <alignment vertical="center"/>
    </xf>
    <xf numFmtId="167" fontId="6" fillId="0" borderId="16" xfId="2" applyNumberFormat="1" applyFont="1" applyFill="1" applyBorder="1" applyAlignment="1">
      <alignment vertical="center"/>
    </xf>
    <xf numFmtId="1" fontId="6" fillId="0" borderId="10" xfId="0" applyNumberFormat="1" applyFont="1" applyBorder="1" applyAlignment="1">
      <alignment vertical="center"/>
    </xf>
    <xf numFmtId="1" fontId="6" fillId="0" borderId="12" xfId="0" applyNumberFormat="1" applyFont="1" applyBorder="1" applyAlignment="1">
      <alignment vertical="center"/>
    </xf>
    <xf numFmtId="168" fontId="6" fillId="0" borderId="10" xfId="0" applyNumberFormat="1" applyFont="1" applyBorder="1" applyAlignment="1">
      <alignment vertical="center"/>
    </xf>
    <xf numFmtId="168" fontId="6" fillId="0" borderId="12" xfId="0" applyNumberFormat="1" applyFont="1" applyBorder="1" applyAlignment="1">
      <alignment vertical="center"/>
    </xf>
    <xf numFmtId="173" fontId="6" fillId="0" borderId="14" xfId="2" applyNumberFormat="1" applyFont="1" applyFill="1" applyBorder="1" applyAlignment="1">
      <alignment vertical="center"/>
    </xf>
    <xf numFmtId="1" fontId="6" fillId="0" borderId="20" xfId="0" applyNumberFormat="1" applyFont="1" applyBorder="1" applyAlignment="1">
      <alignment vertical="center"/>
    </xf>
    <xf numFmtId="1" fontId="6" fillId="0" borderId="22" xfId="0" applyNumberFormat="1" applyFont="1" applyBorder="1" applyAlignment="1">
      <alignment vertical="center"/>
    </xf>
    <xf numFmtId="166" fontId="6" fillId="0" borderId="11" xfId="0" applyNumberFormat="1" applyFont="1" applyBorder="1" applyAlignment="1">
      <alignment vertical="center"/>
    </xf>
    <xf numFmtId="166" fontId="6" fillId="0" borderId="15" xfId="0" applyNumberFormat="1" applyFont="1" applyBorder="1" applyAlignment="1">
      <alignment vertical="center"/>
    </xf>
    <xf numFmtId="14" fontId="6" fillId="0" borderId="21" xfId="0" applyNumberFormat="1" applyFont="1" applyBorder="1" applyAlignment="1">
      <alignment vertical="center"/>
    </xf>
    <xf numFmtId="1" fontId="6" fillId="0" borderId="14" xfId="0" applyNumberFormat="1" applyFont="1" applyBorder="1" applyAlignment="1">
      <alignment vertical="center"/>
    </xf>
    <xf numFmtId="168" fontId="6" fillId="0" borderId="14" xfId="0" applyNumberFormat="1" applyFont="1" applyBorder="1" applyAlignment="1">
      <alignment vertical="center"/>
    </xf>
    <xf numFmtId="1" fontId="6" fillId="0" borderId="21" xfId="0" applyNumberFormat="1" applyFont="1" applyBorder="1" applyAlignment="1">
      <alignment vertical="center"/>
    </xf>
    <xf numFmtId="168" fontId="6" fillId="0" borderId="16" xfId="0" applyNumberFormat="1" applyFont="1" applyBorder="1" applyAlignment="1">
      <alignment vertical="center"/>
    </xf>
    <xf numFmtId="164" fontId="6" fillId="0" borderId="0" xfId="0" applyNumberFormat="1" applyFont="1" applyAlignment="1">
      <alignment horizontal="left" vertical="center"/>
    </xf>
    <xf numFmtId="14" fontId="6" fillId="0" borderId="15" xfId="0" applyNumberFormat="1" applyFont="1" applyBorder="1" applyAlignment="1">
      <alignment horizontal="left" vertical="center"/>
    </xf>
    <xf numFmtId="0" fontId="6" fillId="0" borderId="0" xfId="0" applyFont="1" applyAlignment="1">
      <alignment horizontal="left" vertical="center"/>
    </xf>
    <xf numFmtId="169" fontId="6" fillId="0" borderId="0" xfId="0" applyNumberFormat="1" applyFont="1" applyAlignment="1">
      <alignment vertical="center"/>
    </xf>
    <xf numFmtId="167" fontId="6" fillId="0" borderId="11" xfId="2" applyNumberFormat="1" applyFont="1" applyFill="1" applyBorder="1" applyAlignment="1">
      <alignment vertical="center"/>
    </xf>
    <xf numFmtId="0" fontId="6" fillId="0" borderId="11" xfId="0" applyFont="1" applyBorder="1" applyAlignment="1">
      <alignment horizontal="right" vertical="center"/>
    </xf>
    <xf numFmtId="167" fontId="17" fillId="0" borderId="0" xfId="2" applyNumberFormat="1" applyFont="1" applyFill="1" applyAlignment="1">
      <alignment horizontal="center" vertical="center"/>
    </xf>
    <xf numFmtId="167" fontId="6" fillId="0" borderId="0" xfId="2" applyNumberFormat="1" applyFont="1" applyFill="1" applyAlignment="1">
      <alignment horizontal="center" vertical="center"/>
    </xf>
    <xf numFmtId="0" fontId="25" fillId="0" borderId="20" xfId="0" applyFont="1" applyBorder="1" applyAlignment="1">
      <alignment horizontal="left" vertical="center"/>
    </xf>
    <xf numFmtId="0" fontId="25" fillId="0" borderId="17" xfId="0" applyFont="1" applyBorder="1" applyAlignment="1">
      <alignment horizontal="left" vertical="center"/>
    </xf>
    <xf numFmtId="0" fontId="25" fillId="0" borderId="10" xfId="0" applyFont="1" applyBorder="1" applyAlignment="1">
      <alignment horizontal="left" vertical="center"/>
    </xf>
    <xf numFmtId="0" fontId="26" fillId="0" borderId="17" xfId="0" applyFont="1" applyBorder="1" applyAlignment="1">
      <alignment horizontal="center" vertical="center"/>
    </xf>
    <xf numFmtId="0" fontId="8" fillId="0" borderId="15" xfId="0" applyFont="1" applyBorder="1" applyAlignment="1">
      <alignment horizontal="center" vertical="center"/>
    </xf>
    <xf numFmtId="0" fontId="10" fillId="0" borderId="1" xfId="0" applyFont="1" applyBorder="1" applyAlignment="1">
      <alignment horizontal="left" vertical="center"/>
    </xf>
    <xf numFmtId="9" fontId="27" fillId="0" borderId="0" xfId="3" applyFont="1" applyFill="1" applyAlignment="1">
      <alignment vertical="center"/>
    </xf>
    <xf numFmtId="0" fontId="28" fillId="0" borderId="0" xfId="0" applyFont="1" applyAlignment="1">
      <alignment horizontal="left" vertical="center"/>
    </xf>
    <xf numFmtId="167" fontId="6" fillId="0" borderId="0" xfId="2" applyNumberFormat="1" applyFont="1" applyFill="1" applyBorder="1" applyAlignment="1">
      <alignment vertical="center"/>
    </xf>
    <xf numFmtId="167" fontId="6" fillId="3" borderId="0" xfId="2" applyNumberFormat="1" applyFont="1" applyFill="1" applyBorder="1" applyAlignment="1">
      <alignment horizontal="center" vertical="center"/>
    </xf>
    <xf numFmtId="0" fontId="26" fillId="0" borderId="15" xfId="0" applyFont="1" applyBorder="1" applyAlignment="1">
      <alignment horizontal="center" vertical="center"/>
    </xf>
    <xf numFmtId="166" fontId="18" fillId="0" borderId="13" xfId="0" applyNumberFormat="1" applyFont="1" applyBorder="1" applyAlignment="1">
      <alignment vertical="center"/>
    </xf>
    <xf numFmtId="166" fontId="18" fillId="0" borderId="16" xfId="0" applyNumberFormat="1" applyFont="1" applyBorder="1" applyAlignment="1">
      <alignment vertical="center"/>
    </xf>
    <xf numFmtId="164" fontId="6" fillId="4" borderId="6" xfId="0" applyNumberFormat="1" applyFont="1" applyFill="1" applyBorder="1" applyAlignment="1">
      <alignment vertical="center"/>
    </xf>
    <xf numFmtId="166" fontId="18" fillId="4" borderId="7" xfId="0" applyNumberFormat="1" applyFont="1" applyFill="1" applyBorder="1" applyAlignment="1">
      <alignment vertical="center"/>
    </xf>
    <xf numFmtId="14" fontId="6" fillId="4" borderId="9" xfId="0" applyNumberFormat="1" applyFont="1" applyFill="1" applyBorder="1" applyAlignment="1">
      <alignment vertical="center"/>
    </xf>
    <xf numFmtId="0" fontId="6" fillId="4" borderId="9" xfId="0" applyFont="1" applyFill="1" applyBorder="1" applyAlignment="1">
      <alignment vertical="center"/>
    </xf>
    <xf numFmtId="172" fontId="6" fillId="4" borderId="9" xfId="0" applyNumberFormat="1" applyFont="1" applyFill="1" applyBorder="1" applyAlignment="1">
      <alignment vertical="center"/>
    </xf>
    <xf numFmtId="174" fontId="19" fillId="4" borderId="9" xfId="0" applyNumberFormat="1" applyFont="1" applyFill="1" applyBorder="1" applyAlignment="1">
      <alignment vertical="center"/>
    </xf>
    <xf numFmtId="174" fontId="19" fillId="4" borderId="7" xfId="0" applyNumberFormat="1" applyFont="1" applyFill="1" applyBorder="1" applyAlignment="1">
      <alignment vertical="center"/>
    </xf>
    <xf numFmtId="167" fontId="19" fillId="4" borderId="9" xfId="0" applyNumberFormat="1" applyFont="1" applyFill="1" applyBorder="1" applyAlignment="1">
      <alignment vertical="center"/>
    </xf>
    <xf numFmtId="164" fontId="18" fillId="0" borderId="0" xfId="0" applyNumberFormat="1" applyFont="1" applyAlignment="1">
      <alignment vertical="center"/>
    </xf>
    <xf numFmtId="0" fontId="6" fillId="0" borderId="20" xfId="0" applyFont="1" applyBorder="1" applyAlignment="1">
      <alignment vertical="center"/>
    </xf>
    <xf numFmtId="0" fontId="6" fillId="0" borderId="22" xfId="0" applyFont="1" applyBorder="1" applyAlignment="1">
      <alignment vertical="center"/>
    </xf>
    <xf numFmtId="164" fontId="6" fillId="0" borderId="22" xfId="0" applyNumberFormat="1" applyFont="1" applyBorder="1" applyAlignment="1">
      <alignment vertical="center"/>
    </xf>
    <xf numFmtId="0" fontId="6" fillId="0" borderId="21" xfId="0" applyFont="1" applyBorder="1" applyAlignment="1">
      <alignment vertical="center"/>
    </xf>
    <xf numFmtId="164" fontId="6" fillId="4" borderId="1" xfId="0" applyNumberFormat="1" applyFont="1" applyFill="1" applyBorder="1" applyAlignment="1">
      <alignment vertical="center"/>
    </xf>
    <xf numFmtId="167" fontId="19" fillId="4" borderId="6" xfId="0" applyNumberFormat="1" applyFont="1" applyFill="1" applyBorder="1" applyAlignment="1">
      <alignment vertical="center"/>
    </xf>
    <xf numFmtId="0" fontId="6" fillId="0" borderId="18" xfId="0" applyFont="1" applyBorder="1" applyAlignment="1">
      <alignment vertical="center"/>
    </xf>
    <xf numFmtId="0" fontId="6" fillId="0" borderId="19" xfId="0" applyFont="1" applyBorder="1" applyAlignment="1">
      <alignment vertical="center"/>
    </xf>
    <xf numFmtId="0" fontId="6" fillId="0" borderId="2" xfId="0" applyFont="1" applyBorder="1" applyAlignment="1">
      <alignment vertical="center"/>
    </xf>
    <xf numFmtId="0" fontId="6" fillId="0" borderId="3" xfId="0" applyFont="1" applyBorder="1" applyAlignment="1">
      <alignment vertical="center"/>
    </xf>
    <xf numFmtId="2" fontId="6" fillId="0" borderId="2" xfId="0" applyNumberFormat="1" applyFont="1" applyBorder="1" applyAlignment="1">
      <alignment vertical="center"/>
    </xf>
    <xf numFmtId="0" fontId="6" fillId="0" borderId="4" xfId="0" applyFont="1" applyBorder="1" applyAlignment="1">
      <alignment vertical="center"/>
    </xf>
    <xf numFmtId="0" fontId="6" fillId="0" borderId="5" xfId="0" applyFont="1" applyBorder="1" applyAlignment="1">
      <alignment vertical="center"/>
    </xf>
    <xf numFmtId="0" fontId="9" fillId="0" borderId="0" xfId="0" pivotButton="1" applyFont="1"/>
    <xf numFmtId="0" fontId="22" fillId="0" borderId="0" xfId="0" pivotButton="1" applyFont="1"/>
    <xf numFmtId="0" fontId="6" fillId="0" borderId="0" xfId="0" applyFont="1"/>
    <xf numFmtId="166" fontId="6" fillId="0" borderId="10" xfId="0" applyNumberFormat="1" applyFont="1" applyBorder="1"/>
    <xf numFmtId="0" fontId="6" fillId="0" borderId="11" xfId="0" applyFont="1" applyBorder="1"/>
    <xf numFmtId="0" fontId="6" fillId="0" borderId="11" xfId="0" applyFont="1" applyBorder="1" applyAlignment="1">
      <alignment horizontal="left"/>
    </xf>
    <xf numFmtId="169" fontId="6" fillId="0" borderId="17" xfId="0" applyNumberFormat="1" applyFont="1" applyBorder="1"/>
    <xf numFmtId="166" fontId="6" fillId="0" borderId="12" xfId="0" applyNumberFormat="1" applyFont="1" applyBorder="1"/>
    <xf numFmtId="169" fontId="6" fillId="0" borderId="0" xfId="0" applyNumberFormat="1" applyFont="1" applyAlignment="1">
      <alignment horizontal="left"/>
    </xf>
    <xf numFmtId="169" fontId="6" fillId="0" borderId="13" xfId="0" applyNumberFormat="1" applyFont="1" applyBorder="1"/>
    <xf numFmtId="2" fontId="6" fillId="0" borderId="0" xfId="0" applyNumberFormat="1" applyFont="1"/>
    <xf numFmtId="0" fontId="6" fillId="0" borderId="0" xfId="0" applyFont="1" applyAlignment="1">
      <alignment horizontal="left"/>
    </xf>
    <xf numFmtId="166" fontId="6" fillId="0" borderId="14" xfId="0" applyNumberFormat="1" applyFont="1" applyBorder="1"/>
    <xf numFmtId="0" fontId="6" fillId="0" borderId="15" xfId="0" applyFont="1" applyBorder="1"/>
    <xf numFmtId="169" fontId="6" fillId="0" borderId="16" xfId="0" applyNumberFormat="1" applyFont="1" applyBorder="1"/>
    <xf numFmtId="0" fontId="20" fillId="0" borderId="0" xfId="0" applyFont="1" applyAlignment="1">
      <alignment vertical="center"/>
    </xf>
    <xf numFmtId="14" fontId="20" fillId="0" borderId="0" xfId="0" applyNumberFormat="1" applyFont="1" applyAlignment="1">
      <alignment vertical="center"/>
    </xf>
    <xf numFmtId="0" fontId="13" fillId="0" borderId="0" xfId="1" applyFont="1" applyBorder="1" applyAlignment="1">
      <alignment vertical="center"/>
    </xf>
    <xf numFmtId="2" fontId="6" fillId="0" borderId="0" xfId="0" applyNumberFormat="1" applyFont="1" applyAlignment="1">
      <alignment vertical="center"/>
    </xf>
    <xf numFmtId="0" fontId="14" fillId="0" borderId="0" xfId="0" applyFont="1" applyAlignment="1">
      <alignment vertical="center"/>
    </xf>
    <xf numFmtId="2" fontId="6" fillId="0" borderId="0" xfId="0" applyNumberFormat="1" applyFont="1" applyAlignment="1">
      <alignment horizontal="center" vertical="center"/>
    </xf>
    <xf numFmtId="166" fontId="6" fillId="0" borderId="10" xfId="0" applyNumberFormat="1" applyFont="1" applyBorder="1" applyAlignment="1">
      <alignment vertical="center"/>
    </xf>
    <xf numFmtId="1" fontId="20" fillId="0" borderId="11" xfId="0" applyNumberFormat="1" applyFont="1" applyBorder="1" applyAlignment="1">
      <alignment vertical="center"/>
    </xf>
    <xf numFmtId="14" fontId="20" fillId="0" borderId="11" xfId="0" applyNumberFormat="1" applyFont="1" applyBorder="1" applyAlignment="1">
      <alignment vertical="center"/>
    </xf>
    <xf numFmtId="2" fontId="20" fillId="0" borderId="11" xfId="0" applyNumberFormat="1" applyFont="1" applyBorder="1" applyAlignment="1">
      <alignment vertical="center"/>
    </xf>
    <xf numFmtId="167" fontId="6" fillId="0" borderId="11" xfId="2" applyNumberFormat="1" applyFont="1" applyBorder="1" applyAlignment="1">
      <alignment vertical="center"/>
    </xf>
    <xf numFmtId="166" fontId="6" fillId="0" borderId="12" xfId="0" applyNumberFormat="1" applyFont="1" applyBorder="1" applyAlignment="1">
      <alignment vertical="center"/>
    </xf>
    <xf numFmtId="1" fontId="20" fillId="0" borderId="0" xfId="0" applyNumberFormat="1" applyFont="1" applyAlignment="1">
      <alignment vertical="center"/>
    </xf>
    <xf numFmtId="2" fontId="20" fillId="0" borderId="0" xfId="0" applyNumberFormat="1" applyFont="1" applyAlignment="1">
      <alignment vertical="center"/>
    </xf>
    <xf numFmtId="167" fontId="6" fillId="0" borderId="0" xfId="2" applyNumberFormat="1" applyFont="1" applyBorder="1" applyAlignment="1">
      <alignment vertical="center"/>
    </xf>
    <xf numFmtId="166" fontId="6" fillId="0" borderId="14" xfId="0" applyNumberFormat="1" applyFont="1" applyBorder="1" applyAlignment="1">
      <alignment vertical="center"/>
    </xf>
    <xf numFmtId="167" fontId="20" fillId="0" borderId="15" xfId="2" applyNumberFormat="1" applyFont="1" applyBorder="1" applyAlignment="1">
      <alignment vertical="center"/>
    </xf>
    <xf numFmtId="14" fontId="20" fillId="0" borderId="15" xfId="0" applyNumberFormat="1" applyFont="1" applyBorder="1" applyAlignment="1">
      <alignment vertical="center"/>
    </xf>
    <xf numFmtId="2" fontId="20" fillId="0" borderId="15" xfId="0" applyNumberFormat="1" applyFont="1" applyBorder="1" applyAlignment="1">
      <alignment vertical="center"/>
    </xf>
    <xf numFmtId="167" fontId="6" fillId="0" borderId="15" xfId="2" applyNumberFormat="1" applyFont="1" applyBorder="1" applyAlignment="1">
      <alignment vertical="center"/>
    </xf>
    <xf numFmtId="0" fontId="29" fillId="0" borderId="0" xfId="0" applyFont="1" applyAlignment="1">
      <alignment vertical="center"/>
    </xf>
    <xf numFmtId="167" fontId="6" fillId="0" borderId="17" xfId="2" applyNumberFormat="1" applyFont="1" applyBorder="1" applyAlignment="1">
      <alignment vertical="center"/>
    </xf>
    <xf numFmtId="167" fontId="6" fillId="0" borderId="13" xfId="2" applyNumberFormat="1" applyFont="1" applyBorder="1" applyAlignment="1">
      <alignment vertical="center"/>
    </xf>
    <xf numFmtId="167" fontId="6" fillId="0" borderId="16" xfId="2" applyNumberFormat="1" applyFont="1" applyBorder="1" applyAlignment="1">
      <alignment vertical="center"/>
    </xf>
    <xf numFmtId="0" fontId="31" fillId="0" borderId="11" xfId="0" applyFont="1" applyBorder="1" applyAlignment="1">
      <alignment horizontal="left" vertical="center"/>
    </xf>
    <xf numFmtId="0" fontId="31" fillId="0" borderId="0" xfId="0" applyFont="1" applyAlignment="1">
      <alignment horizontal="left" vertical="center"/>
    </xf>
    <xf numFmtId="0" fontId="30" fillId="0" borderId="0" xfId="0" applyFont="1" applyAlignment="1">
      <alignment horizontal="center" vertical="center"/>
    </xf>
    <xf numFmtId="0" fontId="17" fillId="0" borderId="10" xfId="0" applyFont="1" applyBorder="1" applyAlignment="1">
      <alignment horizontal="center" vertical="center"/>
    </xf>
    <xf numFmtId="0" fontId="17" fillId="0" borderId="17" xfId="0" applyFont="1" applyBorder="1" applyAlignment="1">
      <alignment horizontal="center" vertical="center"/>
    </xf>
    <xf numFmtId="0" fontId="0" fillId="0" borderId="0" xfId="0" pivotButton="1"/>
    <xf numFmtId="0" fontId="0" fillId="0" borderId="0" xfId="0" applyAlignment="1">
      <alignment horizontal="left"/>
    </xf>
    <xf numFmtId="0" fontId="9" fillId="0" borderId="21" xfId="0" applyFont="1" applyBorder="1" applyAlignment="1">
      <alignment horizontal="left"/>
    </xf>
    <xf numFmtId="0" fontId="22" fillId="0" borderId="0" xfId="0" applyFont="1"/>
    <xf numFmtId="167" fontId="6" fillId="0" borderId="14" xfId="0" applyNumberFormat="1" applyFont="1" applyBorder="1"/>
    <xf numFmtId="167" fontId="6" fillId="0" borderId="15" xfId="0" applyNumberFormat="1" applyFont="1" applyBorder="1"/>
    <xf numFmtId="167" fontId="6" fillId="5" borderId="21" xfId="0" applyNumberFormat="1" applyFont="1" applyFill="1" applyBorder="1"/>
    <xf numFmtId="14" fontId="33" fillId="0" borderId="15" xfId="0" applyNumberFormat="1" applyFont="1" applyBorder="1" applyAlignment="1">
      <alignment horizontal="center"/>
    </xf>
    <xf numFmtId="0" fontId="12" fillId="0" borderId="0" xfId="0" applyFont="1" applyAlignment="1">
      <alignment vertical="center"/>
    </xf>
    <xf numFmtId="0" fontId="6" fillId="0" borderId="34" xfId="0" applyFont="1" applyBorder="1" applyAlignment="1">
      <alignment vertical="center"/>
    </xf>
    <xf numFmtId="0" fontId="6" fillId="0" borderId="38" xfId="0" applyFont="1" applyBorder="1" applyAlignment="1">
      <alignment vertical="center"/>
    </xf>
    <xf numFmtId="0" fontId="6" fillId="0" borderId="36" xfId="0" applyFont="1" applyBorder="1" applyAlignment="1">
      <alignment vertical="center"/>
    </xf>
    <xf numFmtId="9" fontId="34" fillId="0" borderId="3" xfId="3" applyFont="1" applyBorder="1" applyAlignment="1">
      <alignment vertical="center"/>
    </xf>
    <xf numFmtId="43" fontId="6" fillId="0" borderId="3" xfId="2" applyFont="1" applyBorder="1" applyAlignment="1">
      <alignment vertical="center"/>
    </xf>
    <xf numFmtId="43" fontId="34" fillId="0" borderId="39" xfId="2" applyFont="1" applyBorder="1" applyAlignment="1">
      <alignment vertical="center"/>
    </xf>
    <xf numFmtId="43" fontId="6" fillId="0" borderId="37" xfId="2" applyFont="1" applyBorder="1" applyAlignment="1">
      <alignment vertical="center"/>
    </xf>
    <xf numFmtId="43" fontId="34" fillId="0" borderId="35" xfId="2" applyFont="1" applyBorder="1" applyAlignment="1">
      <alignment vertical="center"/>
    </xf>
    <xf numFmtId="165" fontId="6" fillId="0" borderId="19" xfId="0" applyNumberFormat="1" applyFont="1" applyBorder="1" applyAlignment="1">
      <alignment vertical="center"/>
    </xf>
    <xf numFmtId="165" fontId="6" fillId="0" borderId="3" xfId="0" applyNumberFormat="1" applyFont="1" applyBorder="1" applyAlignment="1">
      <alignment vertical="center"/>
    </xf>
    <xf numFmtId="165" fontId="6" fillId="0" borderId="5" xfId="0" applyNumberFormat="1" applyFont="1" applyBorder="1" applyAlignment="1">
      <alignment vertical="center"/>
    </xf>
    <xf numFmtId="0" fontId="17" fillId="0" borderId="6" xfId="0" applyFont="1" applyBorder="1" applyAlignment="1">
      <alignment horizontal="center" vertical="center"/>
    </xf>
    <xf numFmtId="0" fontId="17" fillId="0" borderId="7" xfId="0" applyFont="1" applyBorder="1" applyAlignment="1">
      <alignment horizontal="center" vertical="center"/>
    </xf>
    <xf numFmtId="0" fontId="6" fillId="0" borderId="40" xfId="0" applyFont="1" applyBorder="1" applyAlignment="1">
      <alignment vertical="center"/>
    </xf>
    <xf numFmtId="165" fontId="6" fillId="0" borderId="41" xfId="0" applyNumberFormat="1" applyFont="1" applyBorder="1" applyAlignment="1">
      <alignment vertical="center"/>
    </xf>
    <xf numFmtId="167" fontId="0" fillId="0" borderId="0" xfId="0" applyNumberFormat="1"/>
    <xf numFmtId="0" fontId="9" fillId="6" borderId="0" xfId="0" applyFont="1" applyFill="1"/>
    <xf numFmtId="167" fontId="9" fillId="0" borderId="8" xfId="0" applyNumberFormat="1" applyFont="1" applyBorder="1"/>
    <xf numFmtId="0" fontId="0" fillId="0" borderId="18" xfId="0" applyBorder="1" applyAlignment="1">
      <alignment horizontal="left"/>
    </xf>
    <xf numFmtId="14" fontId="0" fillId="0" borderId="19" xfId="0" applyNumberFormat="1" applyBorder="1"/>
    <xf numFmtId="0" fontId="0" fillId="0" borderId="2" xfId="0" applyBorder="1" applyAlignment="1">
      <alignment horizontal="left"/>
    </xf>
    <xf numFmtId="14" fontId="0" fillId="0" borderId="3" xfId="0" applyNumberFormat="1" applyBorder="1"/>
    <xf numFmtId="0" fontId="0" fillId="0" borderId="4" xfId="0" applyBorder="1" applyAlignment="1">
      <alignment horizontal="left"/>
    </xf>
    <xf numFmtId="14" fontId="0" fillId="0" borderId="5" xfId="0" applyNumberFormat="1" applyBorder="1"/>
    <xf numFmtId="0" fontId="9" fillId="0" borderId="18" xfId="0" applyFont="1" applyBorder="1" applyAlignment="1">
      <alignment horizontal="left"/>
    </xf>
    <xf numFmtId="167" fontId="9" fillId="0" borderId="23" xfId="0" applyNumberFormat="1" applyFont="1" applyBorder="1"/>
    <xf numFmtId="0" fontId="9" fillId="0" borderId="2" xfId="0" applyFont="1" applyBorder="1" applyAlignment="1">
      <alignment horizontal="left"/>
    </xf>
    <xf numFmtId="0" fontId="9" fillId="0" borderId="4" xfId="0" applyFont="1" applyBorder="1" applyAlignment="1">
      <alignment horizontal="left"/>
    </xf>
    <xf numFmtId="167" fontId="9" fillId="0" borderId="24" xfId="0" applyNumberFormat="1" applyFont="1" applyBorder="1"/>
    <xf numFmtId="167" fontId="9" fillId="0" borderId="42" xfId="0" applyNumberFormat="1" applyFont="1" applyBorder="1"/>
    <xf numFmtId="167" fontId="9" fillId="0" borderId="43" xfId="0" applyNumberFormat="1" applyFont="1" applyBorder="1"/>
    <xf numFmtId="167" fontId="9" fillId="0" borderId="44" xfId="0" applyNumberFormat="1" applyFont="1" applyBorder="1"/>
    <xf numFmtId="167" fontId="9" fillId="0" borderId="31" xfId="0" applyNumberFormat="1" applyFont="1" applyBorder="1"/>
    <xf numFmtId="167" fontId="9" fillId="0" borderId="32" xfId="0" applyNumberFormat="1" applyFont="1" applyBorder="1"/>
    <xf numFmtId="167" fontId="9" fillId="0" borderId="33" xfId="0" applyNumberFormat="1" applyFont="1" applyBorder="1"/>
    <xf numFmtId="0" fontId="9" fillId="9" borderId="0" xfId="0" applyFont="1" applyFill="1"/>
    <xf numFmtId="0" fontId="9" fillId="7" borderId="0" xfId="0" applyFont="1" applyFill="1"/>
    <xf numFmtId="0" fontId="9" fillId="8" borderId="0" xfId="0" applyFont="1" applyFill="1" applyAlignment="1">
      <alignment vertical="center"/>
    </xf>
    <xf numFmtId="0" fontId="9" fillId="10" borderId="0" xfId="0" applyFont="1" applyFill="1" applyAlignment="1">
      <alignment vertical="center"/>
    </xf>
    <xf numFmtId="0" fontId="9" fillId="11" borderId="0" xfId="0" applyFont="1" applyFill="1" applyAlignment="1">
      <alignment vertical="center"/>
    </xf>
    <xf numFmtId="0" fontId="23" fillId="2" borderId="6" xfId="0" applyFont="1" applyFill="1" applyBorder="1" applyAlignment="1">
      <alignment vertical="top"/>
    </xf>
    <xf numFmtId="0" fontId="23" fillId="2" borderId="9" xfId="0" applyFont="1" applyFill="1" applyBorder="1" applyAlignment="1">
      <alignment vertical="top"/>
    </xf>
    <xf numFmtId="0" fontId="23" fillId="2" borderId="7" xfId="0" applyFont="1" applyFill="1" applyBorder="1" applyAlignment="1">
      <alignment vertical="top"/>
    </xf>
    <xf numFmtId="0" fontId="35" fillId="0" borderId="0" xfId="0" applyFont="1" applyAlignment="1">
      <alignment vertical="center"/>
    </xf>
    <xf numFmtId="0" fontId="6" fillId="0" borderId="47" xfId="0" applyFont="1" applyBorder="1" applyAlignment="1">
      <alignment horizontal="center" vertical="center"/>
    </xf>
    <xf numFmtId="0" fontId="6" fillId="0" borderId="25" xfId="0" applyFont="1" applyBorder="1" applyAlignment="1">
      <alignment horizontal="center" vertical="center"/>
    </xf>
    <xf numFmtId="0" fontId="6" fillId="0" borderId="26" xfId="0" applyFont="1" applyBorder="1" applyAlignment="1">
      <alignment horizontal="center" vertical="center"/>
    </xf>
    <xf numFmtId="0" fontId="6" fillId="0" borderId="27" xfId="0" applyFont="1" applyBorder="1" applyAlignment="1">
      <alignment horizontal="center" vertical="center"/>
    </xf>
    <xf numFmtId="14" fontId="6" fillId="0" borderId="31" xfId="0" applyNumberFormat="1" applyFont="1" applyBorder="1" applyAlignment="1">
      <alignment horizontal="center" vertical="center"/>
    </xf>
    <xf numFmtId="0" fontId="16" fillId="0" borderId="28" xfId="0" applyFont="1" applyBorder="1" applyAlignment="1">
      <alignment horizontal="center" vertical="center"/>
    </xf>
    <xf numFmtId="14" fontId="6" fillId="0" borderId="32" xfId="0" applyNumberFormat="1" applyFont="1" applyBorder="1" applyAlignment="1">
      <alignment horizontal="center" vertical="center"/>
    </xf>
    <xf numFmtId="0" fontId="16" fillId="0" borderId="29" xfId="0" applyFont="1" applyBorder="1" applyAlignment="1">
      <alignment horizontal="center" vertical="center"/>
    </xf>
    <xf numFmtId="14" fontId="6" fillId="0" borderId="46" xfId="0" applyNumberFormat="1" applyFont="1" applyBorder="1" applyAlignment="1">
      <alignment horizontal="center" vertical="center"/>
    </xf>
    <xf numFmtId="14" fontId="6" fillId="0" borderId="45" xfId="0" applyNumberFormat="1" applyFont="1" applyBorder="1" applyAlignment="1">
      <alignment horizontal="center" vertical="center"/>
    </xf>
    <xf numFmtId="14" fontId="6" fillId="0" borderId="33" xfId="0" applyNumberFormat="1" applyFont="1" applyBorder="1" applyAlignment="1">
      <alignment horizontal="center" vertical="center"/>
    </xf>
    <xf numFmtId="0" fontId="16" fillId="0" borderId="30" xfId="0" applyFont="1" applyBorder="1" applyAlignment="1">
      <alignment horizontal="center" vertical="center"/>
    </xf>
    <xf numFmtId="0" fontId="6" fillId="0" borderId="48" xfId="0" applyFont="1" applyBorder="1" applyAlignment="1">
      <alignment vertical="center"/>
    </xf>
    <xf numFmtId="0" fontId="6" fillId="0" borderId="49" xfId="0" applyFont="1" applyBorder="1" applyAlignment="1">
      <alignment vertical="center"/>
    </xf>
    <xf numFmtId="0" fontId="6" fillId="0" borderId="50" xfId="0" applyFont="1" applyBorder="1" applyAlignment="1">
      <alignment vertical="center"/>
    </xf>
    <xf numFmtId="0" fontId="6" fillId="0" borderId="51" xfId="0" applyFont="1" applyBorder="1" applyAlignment="1">
      <alignment vertical="center"/>
    </xf>
    <xf numFmtId="0" fontId="6" fillId="0" borderId="52" xfId="0" applyFont="1" applyBorder="1" applyAlignment="1">
      <alignment vertical="center"/>
    </xf>
    <xf numFmtId="167" fontId="6" fillId="0" borderId="0" xfId="0" applyNumberFormat="1" applyFont="1" applyAlignment="1">
      <alignment vertical="center"/>
    </xf>
    <xf numFmtId="0" fontId="36" fillId="0" borderId="0" xfId="0" pivotButton="1" applyFont="1" applyAlignment="1">
      <alignment vertical="center"/>
    </xf>
    <xf numFmtId="0" fontId="36" fillId="0" borderId="0" xfId="0" applyFont="1" applyAlignment="1">
      <alignment vertical="center"/>
    </xf>
    <xf numFmtId="0" fontId="36" fillId="0" borderId="0" xfId="0" applyFont="1" applyAlignment="1">
      <alignment horizontal="right" vertical="center"/>
    </xf>
    <xf numFmtId="167" fontId="36" fillId="0" borderId="20" xfId="0" applyNumberFormat="1" applyFont="1" applyBorder="1" applyAlignment="1">
      <alignment vertical="center"/>
    </xf>
    <xf numFmtId="167" fontId="36" fillId="0" borderId="22" xfId="0" applyNumberFormat="1" applyFont="1" applyBorder="1" applyAlignment="1">
      <alignment vertical="center"/>
    </xf>
    <xf numFmtId="167" fontId="36" fillId="0" borderId="21" xfId="0" applyNumberFormat="1" applyFont="1" applyBorder="1" applyAlignment="1">
      <alignment vertical="center"/>
    </xf>
    <xf numFmtId="0" fontId="36" fillId="0" borderId="1" xfId="0" applyFont="1" applyBorder="1" applyAlignment="1">
      <alignment horizontal="left" vertical="center"/>
    </xf>
    <xf numFmtId="14" fontId="36" fillId="0" borderId="20" xfId="0" applyNumberFormat="1" applyFont="1" applyBorder="1" applyAlignment="1">
      <alignment horizontal="left" vertical="center"/>
    </xf>
    <xf numFmtId="14" fontId="36" fillId="0" borderId="21" xfId="0" applyNumberFormat="1" applyFont="1" applyBorder="1" applyAlignment="1">
      <alignment horizontal="left" vertical="center"/>
    </xf>
    <xf numFmtId="170" fontId="36" fillId="0" borderId="20" xfId="0" applyNumberFormat="1" applyFont="1" applyBorder="1" applyAlignment="1">
      <alignment vertical="center"/>
    </xf>
    <xf numFmtId="170" fontId="36" fillId="0" borderId="22" xfId="0" applyNumberFormat="1" applyFont="1" applyBorder="1" applyAlignment="1">
      <alignment vertical="center"/>
    </xf>
    <xf numFmtId="170" fontId="36" fillId="0" borderId="21" xfId="0" applyNumberFormat="1" applyFont="1" applyBorder="1" applyAlignment="1">
      <alignment vertical="center"/>
    </xf>
    <xf numFmtId="0" fontId="37" fillId="0" borderId="0" xfId="0" applyFont="1" applyAlignment="1">
      <alignment vertical="center"/>
    </xf>
    <xf numFmtId="167" fontId="36" fillId="0" borderId="1" xfId="0" applyNumberFormat="1" applyFont="1" applyBorder="1" applyAlignment="1">
      <alignment vertical="center"/>
    </xf>
    <xf numFmtId="0" fontId="36" fillId="0" borderId="21" xfId="0" applyFont="1" applyBorder="1" applyAlignment="1">
      <alignment horizontal="left" vertical="center"/>
    </xf>
    <xf numFmtId="14" fontId="36" fillId="0" borderId="22" xfId="0" applyNumberFormat="1" applyFont="1" applyBorder="1" applyAlignment="1">
      <alignment horizontal="left" vertical="center"/>
    </xf>
    <xf numFmtId="0" fontId="38" fillId="0" borderId="56" xfId="4"/>
    <xf numFmtId="0" fontId="7" fillId="0" borderId="0" xfId="0" applyFont="1" applyAlignment="1">
      <alignment horizontal="center"/>
    </xf>
    <xf numFmtId="0" fontId="6" fillId="0" borderId="0" xfId="0" applyFont="1" applyAlignment="1">
      <alignment horizontal="center" vertical="center"/>
    </xf>
    <xf numFmtId="0" fontId="23" fillId="2" borderId="6" xfId="0" applyFont="1" applyFill="1" applyBorder="1" applyAlignment="1">
      <alignment horizontal="center" vertical="top"/>
    </xf>
    <xf numFmtId="0" fontId="23" fillId="2" borderId="9" xfId="0" applyFont="1" applyFill="1" applyBorder="1" applyAlignment="1">
      <alignment horizontal="center" vertical="top"/>
    </xf>
    <xf numFmtId="0" fontId="23" fillId="2" borderId="16" xfId="0" applyFont="1" applyFill="1" applyBorder="1" applyAlignment="1">
      <alignment horizontal="center" vertical="top"/>
    </xf>
    <xf numFmtId="0" fontId="23" fillId="2" borderId="7" xfId="0" applyFont="1" applyFill="1" applyBorder="1" applyAlignment="1">
      <alignment horizontal="center" vertical="top"/>
    </xf>
    <xf numFmtId="0" fontId="32" fillId="2" borderId="10" xfId="0" applyFont="1" applyFill="1" applyBorder="1" applyAlignment="1">
      <alignment horizontal="center" vertical="center"/>
    </xf>
    <xf numFmtId="0" fontId="32" fillId="2" borderId="11" xfId="0" applyFont="1" applyFill="1" applyBorder="1" applyAlignment="1">
      <alignment horizontal="center" vertical="center"/>
    </xf>
    <xf numFmtId="0" fontId="32" fillId="2" borderId="17" xfId="0" applyFont="1" applyFill="1" applyBorder="1" applyAlignment="1">
      <alignment horizontal="center" vertical="center"/>
    </xf>
    <xf numFmtId="0" fontId="23" fillId="2" borderId="53" xfId="0" applyFont="1" applyFill="1" applyBorder="1" applyAlignment="1">
      <alignment horizontal="center" vertical="top"/>
    </xf>
    <xf numFmtId="0" fontId="23" fillId="2" borderId="54" xfId="0" applyFont="1" applyFill="1" applyBorder="1" applyAlignment="1">
      <alignment horizontal="center" vertical="top"/>
    </xf>
    <xf numFmtId="0" fontId="23" fillId="2" borderId="55" xfId="0" applyFont="1" applyFill="1" applyBorder="1" applyAlignment="1">
      <alignment horizontal="center" vertical="top"/>
    </xf>
    <xf numFmtId="173" fontId="21" fillId="0" borderId="0" xfId="2" applyNumberFormat="1" applyFont="1" applyFill="1" applyBorder="1" applyAlignment="1">
      <alignment horizontal="center" vertical="center"/>
    </xf>
    <xf numFmtId="173" fontId="21" fillId="0" borderId="49" xfId="2" applyNumberFormat="1" applyFont="1" applyFill="1" applyBorder="1" applyAlignment="1">
      <alignment horizontal="center" vertical="center"/>
    </xf>
    <xf numFmtId="173" fontId="21" fillId="0" borderId="0" xfId="2" applyNumberFormat="1" applyFont="1" applyFill="1" applyAlignment="1">
      <alignment horizontal="center" vertical="center"/>
    </xf>
  </cellXfs>
  <cellStyles count="5">
    <cellStyle name="Comma" xfId="2" builtinId="3"/>
    <cellStyle name="Heading 2" xfId="4" builtinId="17"/>
    <cellStyle name="Hyperlink" xfId="1" builtinId="8"/>
    <cellStyle name="Normal" xfId="0" builtinId="0"/>
    <cellStyle name="Percent" xfId="3" builtinId="5"/>
  </cellStyles>
  <dxfs count="210">
    <dxf>
      <font>
        <color rgb="FF9C0006"/>
      </font>
      <fill>
        <patternFill>
          <bgColor rgb="FFFFC7CE"/>
        </patternFill>
      </fill>
    </dxf>
    <dxf>
      <font>
        <color rgb="FF9C5700"/>
      </font>
      <fill>
        <patternFill>
          <bgColor theme="7"/>
        </patternFill>
      </fill>
    </dxf>
    <dxf>
      <font>
        <color rgb="FF261036"/>
      </font>
      <fill>
        <patternFill>
          <bgColor rgb="FF8F45C7"/>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0"/>
      </font>
    </dxf>
    <dxf>
      <font>
        <color theme="0"/>
      </font>
      <fill>
        <patternFill>
          <bgColor rgb="FFFF0000"/>
        </patternFill>
      </fill>
    </dxf>
    <dxf>
      <font>
        <color theme="4" tint="0.39994506668294322"/>
      </font>
    </dxf>
    <dxf>
      <font>
        <color theme="0"/>
      </font>
    </dxf>
    <dxf>
      <font>
        <color theme="4" tint="0.39994506668294322"/>
      </font>
    </dxf>
    <dxf>
      <font>
        <color theme="4" tint="0.39994506668294322"/>
      </font>
    </dxf>
    <dxf>
      <font>
        <color theme="4" tint="0.39994506668294322"/>
      </font>
    </dxf>
    <dxf>
      <font>
        <color theme="0"/>
      </font>
    </dxf>
    <dxf>
      <font>
        <color theme="4" tint="0.39994506668294322"/>
      </font>
    </dxf>
    <dxf>
      <font>
        <color theme="0"/>
      </font>
      <fill>
        <patternFill>
          <bgColor theme="0"/>
        </patternFill>
      </fill>
    </dxf>
    <dxf>
      <font>
        <color rgb="FFFF0000"/>
      </font>
    </dxf>
    <dxf>
      <font>
        <color auto="1"/>
      </font>
    </dxf>
    <dxf>
      <fill>
        <patternFill>
          <bgColor rgb="FF00B050"/>
        </patternFill>
      </fill>
    </dxf>
    <dxf>
      <fill>
        <patternFill>
          <bgColor theme="5"/>
        </patternFill>
      </fill>
    </dxf>
    <dxf>
      <fill>
        <patternFill>
          <bgColor rgb="FFFF5353"/>
        </patternFill>
      </fill>
    </dxf>
    <dxf>
      <fill>
        <patternFill>
          <bgColor rgb="FF00B050"/>
        </patternFill>
      </fill>
    </dxf>
    <dxf>
      <fill>
        <patternFill>
          <bgColor theme="5"/>
        </patternFill>
      </fill>
    </dxf>
    <dxf>
      <fill>
        <patternFill>
          <bgColor rgb="FFFF5353"/>
        </patternFill>
      </fill>
    </dxf>
    <dxf>
      <fill>
        <patternFill>
          <bgColor rgb="FF00B050"/>
        </patternFill>
      </fill>
    </dxf>
    <dxf>
      <fill>
        <patternFill>
          <bgColor theme="5"/>
        </patternFill>
      </fill>
    </dxf>
    <dxf>
      <fill>
        <patternFill>
          <bgColor rgb="FFFF5353"/>
        </patternFill>
      </fill>
    </dxf>
    <dxf>
      <font>
        <color theme="0"/>
      </font>
    </dxf>
    <dxf>
      <font>
        <color theme="0"/>
      </font>
    </dxf>
    <dxf>
      <font>
        <color theme="0"/>
      </font>
    </dxf>
    <dxf>
      <font>
        <color rgb="FF9C0006"/>
      </font>
      <fill>
        <patternFill>
          <bgColor rgb="FFFFC7CE"/>
        </patternFill>
      </fill>
    </dxf>
    <dxf>
      <font>
        <b val="0"/>
        <i/>
        <strike val="0"/>
        <condense val="0"/>
        <extend val="0"/>
        <outline val="0"/>
        <shadow val="0"/>
        <u val="none"/>
        <vertAlign val="baseline"/>
        <sz val="10"/>
        <color rgb="FF002060"/>
        <name val="Segoe UI"/>
        <family val="2"/>
        <scheme val="none"/>
      </font>
      <numFmt numFmtId="174" formatCode="_-[$₱-3409]* #,##0_-;\-[$₱-3409]* #,##0_-;_-[$₱-3409]*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i/>
        <strike val="0"/>
        <outline val="0"/>
        <shadow val="0"/>
        <u val="none"/>
        <vertAlign val="baseline"/>
        <sz val="10"/>
        <color rgb="FF002060"/>
        <name val="Segoe UI"/>
        <family val="2"/>
        <scheme val="none"/>
      </font>
      <alignment horizontal="general" vertical="center" textRotation="0" wrapText="0" indent="0" justifyLastLine="0" shrinkToFit="0" readingOrder="0"/>
      <border diagonalUp="0" diagonalDown="0" outline="0">
        <left/>
        <right style="thin">
          <color indexed="64"/>
        </right>
        <top/>
        <bottom/>
      </border>
    </dxf>
    <dxf>
      <font>
        <b val="0"/>
        <i/>
        <strike val="0"/>
        <condense val="0"/>
        <extend val="0"/>
        <outline val="0"/>
        <shadow val="0"/>
        <u val="none"/>
        <vertAlign val="baseline"/>
        <sz val="10"/>
        <color rgb="FF002060"/>
        <name val="Segoe UI"/>
        <family val="2"/>
        <scheme val="none"/>
      </font>
      <numFmt numFmtId="174" formatCode="_-[$₱-3409]* #,##0_-;\-[$₱-3409]* #,##0_-;_-[$₱-3409]*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i/>
        <strike val="0"/>
        <outline val="0"/>
        <shadow val="0"/>
        <u val="none"/>
        <vertAlign val="baseline"/>
        <sz val="10"/>
        <color rgb="FF002060"/>
        <name val="Segoe UI"/>
        <family val="2"/>
        <scheme val="none"/>
      </font>
      <numFmt numFmtId="172" formatCode="_-[$₱-3409]* #,##0.00_-;\-[$₱-3409]* #,##0.00_-;_-[$₱-3409]* &quot;-&quot;??_-;_-@_-"/>
      <alignment horizontal="general" vertical="center" textRotation="0" wrapText="0" indent="0" justifyLastLine="0" shrinkToFit="0" readingOrder="0"/>
    </dxf>
    <dxf>
      <font>
        <b val="0"/>
        <i/>
        <strike val="0"/>
        <condense val="0"/>
        <extend val="0"/>
        <outline val="0"/>
        <shadow val="0"/>
        <u val="none"/>
        <vertAlign val="baseline"/>
        <sz val="10"/>
        <color rgb="FF002060"/>
        <name val="Segoe UI"/>
        <family val="2"/>
        <scheme val="none"/>
      </font>
      <numFmt numFmtId="174" formatCode="_-[$₱-3409]* #,##0_-;\-[$₱-3409]* #,##0_-;_-[$₱-3409]*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i/>
        <strike val="0"/>
        <outline val="0"/>
        <shadow val="0"/>
        <u val="none"/>
        <vertAlign val="baseline"/>
        <sz val="10"/>
        <color rgb="FF002060"/>
        <name val="Segoe UI"/>
        <family val="2"/>
        <scheme val="none"/>
      </font>
      <numFmt numFmtId="172" formatCode="_-[$₱-3409]* #,##0.00_-;\-[$₱-3409]* #,##0.00_-;_-[$₱-3409]* &quot;-&quot;??_-;_-@_-"/>
      <alignment horizontal="general" vertical="center" textRotation="0" wrapText="0" indent="0" justifyLastLine="0" shrinkToFit="0" readingOrder="0"/>
    </dxf>
    <dxf>
      <font>
        <b val="0"/>
        <i/>
        <strike val="0"/>
        <condense val="0"/>
        <extend val="0"/>
        <outline val="0"/>
        <shadow val="0"/>
        <u val="none"/>
        <vertAlign val="baseline"/>
        <sz val="10"/>
        <color rgb="FF002060"/>
        <name val="Segoe UI"/>
        <family val="2"/>
        <scheme val="none"/>
      </font>
      <numFmt numFmtId="167" formatCode="_(* #,##0_);_(* \(#,##0\);_(*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i/>
        <strike val="0"/>
        <outline val="0"/>
        <shadow val="0"/>
        <u val="none"/>
        <vertAlign val="baseline"/>
        <sz val="10"/>
        <color rgb="FF002060"/>
        <name val="Segoe UI"/>
        <family val="2"/>
        <scheme val="none"/>
      </font>
      <numFmt numFmtId="1" formatCode="0"/>
      <alignment horizontal="general" vertical="center" textRotation="0" wrapText="0" indent="0" justifyLastLine="0" shrinkToFit="0" readingOrder="0"/>
    </dxf>
    <dxf>
      <font>
        <b val="0"/>
        <i/>
        <strike val="0"/>
        <condense val="0"/>
        <extend val="0"/>
        <outline val="0"/>
        <shadow val="0"/>
        <u val="none"/>
        <vertAlign val="baseline"/>
        <sz val="10"/>
        <color rgb="FF002060"/>
        <name val="Segoe UI"/>
        <family val="2"/>
        <scheme val="none"/>
      </font>
      <numFmt numFmtId="167" formatCode="_(* #,##0_);_(* \(#,##0\);_(*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i/>
        <strike val="0"/>
        <outline val="0"/>
        <shadow val="0"/>
        <u val="none"/>
        <vertAlign val="baseline"/>
        <sz val="10"/>
        <color rgb="FF002060"/>
        <name val="Segoe UI"/>
        <family val="2"/>
        <scheme val="none"/>
      </font>
      <numFmt numFmtId="1" formatCode="0"/>
      <alignment horizontal="general" vertical="center" textRotation="0" wrapText="0" indent="0" justifyLastLine="0" shrinkToFit="0" readingOrder="0"/>
    </dxf>
    <dxf>
      <font>
        <b val="0"/>
        <i/>
        <strike val="0"/>
        <condense val="0"/>
        <extend val="0"/>
        <outline val="0"/>
        <shadow val="0"/>
        <u val="none"/>
        <vertAlign val="baseline"/>
        <sz val="10"/>
        <color rgb="FF002060"/>
        <name val="Segoe UI"/>
        <family val="2"/>
        <scheme val="none"/>
      </font>
      <numFmt numFmtId="167" formatCode="_(* #,##0_);_(* \(#,##0\);_(*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style="thin">
          <color indexed="64"/>
        </left>
        <right/>
        <top style="thin">
          <color indexed="64"/>
        </top>
        <bottom style="thin">
          <color indexed="64"/>
        </bottom>
      </border>
    </dxf>
    <dxf>
      <font>
        <i/>
        <strike val="0"/>
        <outline val="0"/>
        <shadow val="0"/>
        <u val="none"/>
        <vertAlign val="baseline"/>
        <sz val="10"/>
        <color rgb="FF002060"/>
        <name val="Segoe UI"/>
        <family val="2"/>
        <scheme val="none"/>
      </font>
      <numFmt numFmtId="1" formatCode="0"/>
      <alignment horizontal="general" vertical="center"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theme="1"/>
        <name val="Segoe UI"/>
        <family val="2"/>
        <scheme val="none"/>
      </font>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0"/>
        <name val="Segoe U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0"/>
        <name val="Segoe U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0"/>
        <name val="Segoe U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172" formatCode="_-[$₱-3409]* #,##0.00_-;\-[$₱-3409]* #,##0.00_-;_-[$₱-3409]*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0"/>
        <name val="Segoe UI"/>
        <family val="2"/>
        <scheme val="none"/>
      </font>
      <numFmt numFmtId="172" formatCode="_-[$₱-3409]* #,##0.00_-;\-[$₱-3409]* #,##0.00_-;_-[$₱-3409]* &quot;-&quot;??_-;_-@_-"/>
      <alignment horizontal="general" vertical="center" textRotation="0" wrapText="0" indent="0" justifyLastLine="0" shrinkToFit="0" readingOrder="0"/>
    </dxf>
    <dxf>
      <font>
        <b val="0"/>
        <i/>
        <strike val="0"/>
        <condense val="0"/>
        <extend val="0"/>
        <outline val="0"/>
        <shadow val="0"/>
        <u val="none"/>
        <vertAlign val="baseline"/>
        <sz val="10"/>
        <color rgb="FF002060"/>
        <name val="Segoe UI"/>
        <family val="2"/>
        <scheme val="none"/>
      </font>
      <numFmt numFmtId="167" formatCode="_(* #,##0_);_(* \(#,##0\);_(* &quot;-&quot;??_);_(@_)"/>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0"/>
        <name val="Segoe U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19" formatCode="m/d/yyyy"/>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0"/>
        <name val="Segoe UI"/>
        <family val="2"/>
        <scheme val="none"/>
      </font>
      <numFmt numFmtId="19" formatCode="m/d/yyyy"/>
      <alignment horizontal="general" vertical="center" textRotation="0" wrapText="0" indent="0" justifyLastLine="0" shrinkToFit="0" readingOrder="0"/>
    </dxf>
    <dxf>
      <font>
        <b val="0"/>
        <i/>
        <strike val="0"/>
        <condense val="0"/>
        <extend val="0"/>
        <outline val="0"/>
        <shadow val="0"/>
        <u val="none"/>
        <vertAlign val="baseline"/>
        <sz val="10"/>
        <color theme="4" tint="-0.499984740745262"/>
        <name val="Segoe UI"/>
        <family val="2"/>
        <scheme val="none"/>
      </font>
      <numFmt numFmtId="166" formatCode="000"/>
      <fill>
        <patternFill patternType="solid">
          <fgColor indexed="64"/>
          <bgColor theme="4" tint="0.79998168889431442"/>
        </patternFill>
      </fill>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i/>
        <strike val="0"/>
        <outline val="0"/>
        <shadow val="0"/>
        <u val="none"/>
        <vertAlign val="baseline"/>
        <sz val="10"/>
        <color theme="4" tint="-0.499984740745262"/>
        <name val="Segoe UI"/>
        <family val="2"/>
        <scheme val="none"/>
      </font>
      <numFmt numFmtId="166" formatCode="000"/>
      <alignment horizontal="general" vertical="center" textRotation="0" wrapText="0" indent="0" justifyLastLine="0" shrinkToFit="0" readingOrder="0"/>
      <border diagonalUp="0" diagonalDown="0">
        <left/>
        <right style="thin">
          <color indexed="64"/>
        </right>
        <top/>
        <bottom/>
      </border>
    </dxf>
    <dxf>
      <font>
        <b val="0"/>
        <i val="0"/>
        <strike val="0"/>
        <condense val="0"/>
        <extend val="0"/>
        <outline val="0"/>
        <shadow val="0"/>
        <u val="none"/>
        <vertAlign val="baseline"/>
        <sz val="10"/>
        <color theme="1"/>
        <name val="Segoe UI"/>
        <family val="2"/>
        <scheme val="none"/>
      </font>
      <numFmt numFmtId="164" formatCode="0000"/>
      <fill>
        <patternFill patternType="solid">
          <fgColor indexed="64"/>
          <bgColor theme="4" tint="0.79998168889431442"/>
        </patternFill>
      </fill>
      <alignment horizontal="general"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0"/>
        <name val="Segoe UI"/>
        <family val="2"/>
        <scheme val="none"/>
      </font>
      <numFmt numFmtId="164" formatCode="0000"/>
      <alignment horizontal="general" vertical="center" textRotation="0" wrapText="0" indent="0" justifyLastLine="0" shrinkToFit="0" readingOrder="0"/>
      <border diagonalUp="0" diagonalDown="0">
        <left style="thin">
          <color indexed="64"/>
        </left>
        <right style="thin">
          <color indexed="64"/>
        </right>
        <vertical/>
      </border>
    </dxf>
    <dxf>
      <font>
        <b val="0"/>
        <i val="0"/>
        <strike val="0"/>
        <condense val="0"/>
        <extend val="0"/>
        <outline val="0"/>
        <shadow val="0"/>
        <u val="none"/>
        <vertAlign val="baseline"/>
        <sz val="10"/>
        <color theme="1"/>
        <name val="Segoe UI"/>
        <family val="2"/>
        <scheme val="none"/>
      </font>
      <numFmt numFmtId="164" formatCode="0000"/>
      <fill>
        <patternFill patternType="solid">
          <fgColor indexed="64"/>
          <bgColor theme="4" tint="0.79998168889431442"/>
        </patternFill>
      </fill>
      <alignment horizontal="general" vertical="center" textRotation="0" wrapText="0" indent="0" justifyLastLine="0" shrinkToFit="0" readingOrder="0"/>
      <border diagonalUp="0" diagonalDown="0" outline="0">
        <left style="thin">
          <color indexed="64"/>
        </left>
        <right/>
        <top style="thin">
          <color indexed="64"/>
        </top>
        <bottom style="thin">
          <color indexed="64"/>
        </bottom>
      </border>
    </dxf>
    <dxf>
      <font>
        <i/>
        <strike val="0"/>
        <outline val="0"/>
        <shadow val="0"/>
        <u val="none"/>
        <vertAlign val="baseline"/>
        <sz val="10"/>
        <color theme="4" tint="-0.499984740745262"/>
        <name val="Segoe UI"/>
        <family val="2"/>
        <scheme val="none"/>
      </font>
      <numFmt numFmtId="164" formatCode="0000"/>
      <alignment horizontal="general" vertical="center" textRotation="0" wrapText="0" indent="0" justifyLastLine="0" shrinkToFit="0" readingOrder="0"/>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0"/>
      </font>
    </dxf>
    <dxf>
      <font>
        <sz val="10"/>
      </font>
    </dxf>
    <dxf>
      <font>
        <b/>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ill>
        <patternFill>
          <bgColor theme="4" tint="0.59999389629810485"/>
        </patternFill>
      </fill>
    </dxf>
    <dxf>
      <border>
        <left style="thin">
          <color indexed="64"/>
        </left>
      </border>
    </dxf>
    <dxf>
      <fill>
        <patternFill patternType="solid">
          <bgColor theme="4"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7" formatCode="_(* #,##0_);_(* \(#,##0\);_(* &quot;-&quot;??_);_(@_)"/>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name val="Segoe UI"/>
        <scheme val="none"/>
      </font>
    </dxf>
    <dxf>
      <font>
        <name val="Segoe UI"/>
        <scheme val="none"/>
      </font>
    </dxf>
    <dxf>
      <font>
        <name val="Segoe UI"/>
        <scheme val="none"/>
      </font>
    </dxf>
    <dxf>
      <alignment vertical="center" indent="0"/>
    </dxf>
    <dxf>
      <alignment vertical="center" indent="0"/>
    </dxf>
    <dxf>
      <alignment vertical="center" indent="0"/>
    </dxf>
    <dxf>
      <alignment vertical="center" indent="0"/>
    </dxf>
    <dxf>
      <numFmt numFmtId="170" formatCode="[$₱-3409]#,##0.00"/>
    </dxf>
    <dxf>
      <numFmt numFmtId="167"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sz val="11"/>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border>
        <left style="thin">
          <color indexed="64"/>
        </left>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font>
        <sz val="9"/>
      </font>
    </dxf>
    <dxf>
      <numFmt numFmtId="167" formatCode="_(* #,##0_);_(* \(#,##0\);_(* &quot;-&quot;??_);_(@_)"/>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_(* #,##0_);_(* \(#,##0\);_(* &quot;-&quot;??_);_(@_)"/>
    </dxf>
    <dxf>
      <alignment horizontal="right"/>
    </dxf>
    <dxf>
      <font>
        <name val="Segoe UI"/>
        <scheme val="none"/>
      </font>
    </dxf>
    <dxf>
      <font>
        <name val="Segoe UI"/>
        <scheme val="none"/>
      </font>
    </dxf>
    <dxf>
      <font>
        <name val="Segoe UI"/>
        <scheme val="none"/>
      </font>
    </dxf>
    <dxf>
      <font>
        <name val="Segoe UI"/>
        <scheme val="none"/>
      </font>
    </dxf>
    <dxf>
      <alignment vertical="center" indent="0"/>
    </dxf>
    <dxf>
      <alignment vertical="center" indent="0"/>
    </dxf>
    <dxf>
      <alignment vertical="center" indent="0"/>
    </dxf>
    <dxf>
      <alignment vertical="center" indent="0"/>
    </dxf>
    <dxf>
      <numFmt numFmtId="167" formatCode="_(* #,##0_);_(* \(#,##0\);_(* &quot;-&quot;??_);_(@_)"/>
    </dxf>
    <dxf>
      <font>
        <b val="0"/>
        <i val="0"/>
        <strike val="0"/>
        <condense val="0"/>
        <extend val="0"/>
        <outline val="0"/>
        <shadow val="0"/>
        <u val="none"/>
        <vertAlign val="baseline"/>
        <sz val="10"/>
        <color theme="1"/>
        <name val="Segoe UI"/>
        <family val="2"/>
        <scheme val="none"/>
      </font>
      <numFmt numFmtId="167" formatCode="_(* #,##0_);_(* \(#,##0\);_(* &quot;-&quot;??_);_(@_)"/>
      <alignment horizontal="general" vertical="center" textRotation="0" wrapText="0" indent="0" justifyLastLine="0" shrinkToFit="0" readingOrder="0"/>
      <border diagonalUp="0" diagonalDown="0" outline="0">
        <left/>
        <right style="thin">
          <color indexed="64"/>
        </right>
        <top/>
        <bottom/>
      </border>
    </dxf>
    <dxf>
      <font>
        <strike val="0"/>
        <outline val="0"/>
        <shadow val="0"/>
        <u val="none"/>
        <vertAlign val="baseline"/>
        <sz val="10"/>
        <color theme="1"/>
        <name val="Segoe UI"/>
        <family val="2"/>
        <scheme val="none"/>
      </font>
      <numFmt numFmtId="167" formatCode="_(* #,##0_);_(* \(#,##0\);_(* &quot;-&quot;??_);_(@_)"/>
      <alignment horizontal="general" vertical="center" textRotation="0" wrapText="0" indent="0" justifyLastLine="0" shrinkToFit="0" readingOrder="0"/>
    </dxf>
    <dxf>
      <font>
        <b val="0"/>
        <i val="0"/>
        <strike val="0"/>
        <condense val="0"/>
        <extend val="0"/>
        <outline val="0"/>
        <shadow val="0"/>
        <u val="none"/>
        <vertAlign val="baseline"/>
        <sz val="10"/>
        <color theme="8" tint="-0.499984740745262"/>
        <name val="Segoe UI"/>
        <family val="2"/>
        <scheme val="none"/>
      </font>
      <numFmt numFmtId="2" formatCode="0.00"/>
      <alignment horizontal="general" vertical="center" textRotation="0" wrapText="0" indent="0" justifyLastLine="0" shrinkToFit="0" readingOrder="0"/>
    </dxf>
    <dxf>
      <font>
        <b val="0"/>
        <i val="0"/>
        <strike val="0"/>
        <condense val="0"/>
        <extend val="0"/>
        <outline val="0"/>
        <shadow val="0"/>
        <u val="none"/>
        <vertAlign val="baseline"/>
        <sz val="10"/>
        <color theme="8" tint="-0.499984740745262"/>
        <name val="Segoe UI"/>
        <family val="2"/>
        <scheme val="none"/>
      </font>
      <numFmt numFmtId="19" formatCode="m/d/yyyy"/>
      <alignment horizontal="general" vertical="center" textRotation="0" wrapText="0" indent="0" justifyLastLine="0" shrinkToFit="0" readingOrder="0"/>
    </dxf>
    <dxf>
      <font>
        <b val="0"/>
        <i val="0"/>
        <strike val="0"/>
        <condense val="0"/>
        <extend val="0"/>
        <outline val="0"/>
        <shadow val="0"/>
        <u val="none"/>
        <vertAlign val="baseline"/>
        <sz val="10"/>
        <color theme="8" tint="-0.499984740745262"/>
        <name val="Segoe UI"/>
        <family val="2"/>
        <scheme val="none"/>
      </font>
      <numFmt numFmtId="19" formatCode="m/d/yyyy"/>
      <alignment horizontal="general" vertical="center" textRotation="0" wrapText="0" indent="0" justifyLastLine="0" shrinkToFit="0" readingOrder="0"/>
    </dxf>
    <dxf>
      <font>
        <b val="0"/>
        <i val="0"/>
        <strike val="0"/>
        <condense val="0"/>
        <extend val="0"/>
        <outline val="0"/>
        <shadow val="0"/>
        <u val="none"/>
        <vertAlign val="baseline"/>
        <sz val="10"/>
        <color theme="8" tint="-0.499984740745262"/>
        <name val="Segoe UI"/>
        <family val="2"/>
        <scheme val="none"/>
      </font>
      <numFmt numFmtId="1" formatCode="0"/>
      <alignment horizontal="general" vertical="center" textRotation="0" wrapText="0" indent="0" justifyLastLine="0" shrinkToFit="0" readingOrder="0"/>
    </dxf>
    <dxf>
      <font>
        <b val="0"/>
        <i val="0"/>
        <strike val="0"/>
        <condense val="0"/>
        <extend val="0"/>
        <outline val="0"/>
        <shadow val="0"/>
        <u val="none"/>
        <vertAlign val="baseline"/>
        <sz val="10"/>
        <color theme="8" tint="-0.499984740745262"/>
        <name val="Segoe UI"/>
        <family val="2"/>
        <scheme val="none"/>
      </font>
      <numFmt numFmtId="1" formatCode="0"/>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166" formatCode="000"/>
      <alignment horizontal="general" vertical="center" textRotation="0" wrapText="0" indent="0" justifyLastLine="0" shrinkToFit="0" readingOrder="0"/>
      <border diagonalUp="0" diagonalDown="0" outline="0">
        <left style="thin">
          <color indexed="64"/>
        </left>
        <right/>
        <top/>
        <bottom/>
      </border>
    </dxf>
    <dxf>
      <font>
        <strike val="0"/>
        <outline val="0"/>
        <shadow val="0"/>
        <u val="none"/>
        <vertAlign val="baseline"/>
        <sz val="10"/>
        <color theme="1"/>
        <name val="Segoe UI"/>
        <family val="2"/>
        <scheme val="none"/>
      </font>
      <alignment horizontal="general" vertical="center" textRotation="0" wrapText="0" indent="0" justifyLastLine="0" shrinkToFit="0" readingOrder="0"/>
    </dxf>
    <dxf>
      <border outline="0">
        <bottom style="thick">
          <color theme="4" tint="0.499984740745262"/>
        </bottom>
      </border>
    </dxf>
    <dxf>
      <border>
        <top style="thin">
          <color indexed="64"/>
        </top>
      </border>
    </dxf>
    <dxf>
      <fill>
        <patternFill patternType="solid">
          <fgColor indexed="64"/>
          <bgColor theme="4" tint="0.79998168889431442"/>
        </patternFill>
      </fill>
    </dxf>
    <dxf>
      <font>
        <strike val="0"/>
        <outline val="0"/>
        <shadow val="0"/>
        <u val="none"/>
        <vertAlign val="baseline"/>
        <sz val="10"/>
        <name val="Segoe UI"/>
        <family val="2"/>
        <scheme val="none"/>
      </font>
      <alignment horizontal="general" vertical="center" textRotation="0" wrapText="0" indent="0" justifyLastLine="0" shrinkToFit="0" readingOrder="0"/>
    </dxf>
    <dxf>
      <border outline="0">
        <bottom style="thick">
          <color theme="4" tint="0.499984740745262"/>
        </bottom>
      </border>
    </dxf>
    <dxf>
      <font>
        <strike val="0"/>
        <outline val="0"/>
        <shadow val="0"/>
        <u val="none"/>
        <vertAlign val="baseline"/>
        <sz val="10"/>
        <color theme="1"/>
        <name val="Segoe UI"/>
        <family val="2"/>
        <scheme val="none"/>
      </font>
      <numFmt numFmtId="169" formatCode="00000000000"/>
      <alignmen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0"/>
        <color theme="1"/>
        <name val="Segoe UI"/>
        <family val="2"/>
        <scheme val="none"/>
      </font>
      <alignment vertical="bottom" textRotation="0" wrapText="0" indent="0" justifyLastLine="0" shrinkToFit="0" readingOrder="0"/>
    </dxf>
    <dxf>
      <font>
        <b val="0"/>
        <i val="0"/>
        <strike val="0"/>
        <condense val="0"/>
        <extend val="0"/>
        <outline val="0"/>
        <shadow val="0"/>
        <u val="none"/>
        <vertAlign val="baseline"/>
        <sz val="10"/>
        <color theme="1"/>
        <name val="Segoe UI"/>
        <family val="2"/>
        <scheme val="none"/>
      </font>
      <alignment vertical="bottom" textRotation="0" wrapText="0" indent="0" justifyLastLine="0" shrinkToFit="0" readingOrder="0"/>
    </dxf>
    <dxf>
      <font>
        <b val="0"/>
        <i val="0"/>
        <strike val="0"/>
        <condense val="0"/>
        <extend val="0"/>
        <outline val="0"/>
        <shadow val="0"/>
        <u val="none"/>
        <vertAlign val="baseline"/>
        <sz val="10"/>
        <color theme="1"/>
        <name val="Segoe UI"/>
        <family val="2"/>
        <scheme val="none"/>
      </font>
      <alignment vertical="bottom" textRotation="0" wrapText="0" indent="0" justifyLastLine="0" shrinkToFit="0" readingOrder="0"/>
    </dxf>
    <dxf>
      <font>
        <b val="0"/>
        <i val="0"/>
        <strike val="0"/>
        <condense val="0"/>
        <extend val="0"/>
        <outline val="0"/>
        <shadow val="0"/>
        <u val="none"/>
        <vertAlign val="baseline"/>
        <sz val="10"/>
        <color theme="1"/>
        <name val="Segoe UI"/>
        <family val="2"/>
        <scheme val="none"/>
      </font>
      <alignment vertical="bottom"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166" formatCode="000"/>
      <alignmen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0"/>
        <color theme="1"/>
        <name val="Segoe UI"/>
        <family val="2"/>
        <scheme val="none"/>
      </font>
      <alignment vertical="bottom" textRotation="0" wrapText="0" indent="0" justifyLastLine="0" shrinkToFit="0" readingOrder="0"/>
    </dxf>
    <dxf>
      <border outline="0">
        <bottom style="thick">
          <color theme="4" tint="0.499984740745262"/>
        </bottom>
      </border>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horizontal="center"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u val="none"/>
        <vertAlign val="baseline"/>
        <sz val="10"/>
        <color theme="8" tint="-0.499984740745262"/>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horizontal="center" vertical="center" textRotation="0" wrapText="0" indent="0" justifyLastLine="0" shrinkToFit="0" readingOrder="0"/>
    </dxf>
    <dxf>
      <font>
        <strike val="0"/>
        <outline val="0"/>
        <shadow val="0"/>
        <u val="none"/>
        <vertAlign val="baseline"/>
        <sz val="10"/>
        <color theme="8" tint="-0.499984740745262"/>
        <name val="Segoe UI"/>
        <family val="2"/>
        <scheme val="none"/>
      </font>
      <alignment vertical="center" textRotation="0" wrapText="0" indent="0" justifyLastLine="0" shrinkToFit="0" readingOrder="0"/>
    </dxf>
    <dxf>
      <font>
        <strike val="0"/>
        <outline val="0"/>
        <shadow val="0"/>
        <u val="none"/>
        <vertAlign val="baseline"/>
        <sz val="10"/>
        <color theme="8" tint="-0.499984740745262"/>
        <name val="Segoe UI"/>
        <family val="2"/>
        <scheme val="none"/>
      </font>
      <alignment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numFmt numFmtId="169" formatCode="00000000000"/>
      <alignment horizontal="general"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alignment vertical="center" textRotation="0" wrapText="0" indent="0" justifyLastLine="0" shrinkToFit="0" readingOrder="0"/>
    </dxf>
    <dxf>
      <font>
        <b val="0"/>
        <i val="0"/>
        <strike val="0"/>
        <condense val="0"/>
        <extend val="0"/>
        <outline val="0"/>
        <shadow val="0"/>
        <u val="none"/>
        <vertAlign val="baseline"/>
        <sz val="10"/>
        <color theme="1"/>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font>
        <strike val="0"/>
        <outline val="0"/>
        <shadow val="0"/>
        <vertAlign val="baseline"/>
        <sz val="10"/>
        <name val="Segoe UI"/>
        <family val="2"/>
        <scheme val="none"/>
      </font>
      <alignment vertical="center"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strike val="0"/>
        <outline val="0"/>
        <shadow val="0"/>
        <vertAlign val="baseline"/>
        <sz val="10"/>
        <name val="Segoe UI"/>
        <family val="2"/>
        <scheme val="none"/>
      </font>
      <alignment vertical="center" textRotation="0" wrapText="0" indent="0" justifyLastLine="0" shrinkToFit="0" readingOrder="0"/>
    </dxf>
    <dxf>
      <border>
        <bottom style="thin">
          <color indexed="64"/>
        </bottom>
      </border>
    </dxf>
    <dxf>
      <font>
        <b val="0"/>
        <i val="0"/>
        <strike val="0"/>
        <condense val="0"/>
        <extend val="0"/>
        <outline val="0"/>
        <shadow val="0"/>
        <u val="none"/>
        <vertAlign val="baseline"/>
        <sz val="10"/>
        <color theme="1"/>
        <name val="Segoe UI"/>
        <family val="2"/>
        <scheme val="none"/>
      </font>
      <fill>
        <patternFill patternType="solid">
          <fgColor indexed="64"/>
          <bgColor theme="4" tint="0.39997558519241921"/>
        </patternFill>
      </fill>
      <alignment vertical="center" textRotation="0" wrapText="0" indent="0" justifyLastLine="0" shrinkToFit="0" readingOrder="0"/>
      <border diagonalUp="0" diagonalDown="0">
        <left/>
        <right/>
        <top/>
        <bottom/>
        <vertical/>
        <horizontal/>
      </border>
    </dxf>
  </dxfs>
  <tableStyles count="0" defaultTableStyle="TableStyleMedium2" defaultPivotStyle="PivotStyleLight16"/>
  <colors>
    <mruColors>
      <color rgb="FF8F45C7"/>
      <color rgb="FFFFEB9C"/>
      <color rgb="FFC6EFCE"/>
      <color rgb="FFFFC7CE"/>
      <color rgb="FFFF0000"/>
      <color rgb="FF261036"/>
      <color rgb="FF421C5E"/>
      <color rgb="FFFF5353"/>
      <color rgb="FFED7D31"/>
      <color rgb="FF00B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'Admin Interface'!$V$29</c:f>
          <c:strCache>
            <c:ptCount val="1"/>
            <c:pt idx="0">
              <c:v>Raze's SLP Farm Trend</c:v>
            </c:pt>
          </c:strCache>
        </c:strRef>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'Admin Interface'!$E$17</c:f>
              <c:strCache>
                <c:ptCount val="1"/>
                <c:pt idx="0">
                  <c:v>SLP Farmed</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numRef>
              <c:f>'Admin Interface'!$D$18:$D$37</c:f>
              <c:numCache>
                <c:formatCode>m/d/yyyy</c:formatCode>
                <c:ptCount val="20"/>
                <c:pt idx="0">
                  <c:v>44384</c:v>
                </c:pt>
                <c:pt idx="1">
                  <c:v>44401</c:v>
                </c:pt>
                <c:pt idx="2">
                  <c:v>44415</c:v>
                </c:pt>
                <c:pt idx="3">
                  <c:v>44431</c:v>
                </c:pt>
                <c:pt idx="4">
                  <c:v>44441</c:v>
                </c:pt>
                <c:pt idx="5">
                  <c:v>44486</c:v>
                </c:pt>
                <c:pt idx="6">
                  <c:v>44500</c:v>
                </c:pt>
                <c:pt idx="7">
                  <c:v>44516</c:v>
                </c:pt>
                <c:pt idx="8">
                  <c:v>44524</c:v>
                </c:pt>
                <c:pt idx="9">
                  <c:v>44530</c:v>
                </c:pt>
                <c:pt idx="10">
                  <c:v>44551</c:v>
                </c:pt>
                <c:pt idx="11">
                  <c:v>44575</c:v>
                </c:pt>
              </c:numCache>
            </c:numRef>
          </c:cat>
          <c:val>
            <c:numRef>
              <c:f>'Admin Interface'!$E$18:$E$37</c:f>
              <c:numCache>
                <c:formatCode>General</c:formatCode>
                <c:ptCount val="20"/>
                <c:pt idx="0">
                  <c:v>3553</c:v>
                </c:pt>
                <c:pt idx="1">
                  <c:v>2950</c:v>
                </c:pt>
                <c:pt idx="2">
                  <c:v>3072</c:v>
                </c:pt>
                <c:pt idx="3">
                  <c:v>1199</c:v>
                </c:pt>
                <c:pt idx="4">
                  <c:v>1895</c:v>
                </c:pt>
                <c:pt idx="5">
                  <c:v>3984</c:v>
                </c:pt>
                <c:pt idx="6">
                  <c:v>3998</c:v>
                </c:pt>
                <c:pt idx="7">
                  <c:v>3257</c:v>
                </c:pt>
                <c:pt idx="8">
                  <c:v>6328</c:v>
                </c:pt>
                <c:pt idx="9">
                  <c:v>3326</c:v>
                </c:pt>
                <c:pt idx="10">
                  <c:v>3568</c:v>
                </c:pt>
                <c:pt idx="11">
                  <c:v>4705</c:v>
                </c:pt>
              </c:numCache>
            </c:numRef>
          </c:val>
          <c:smooth val="0"/>
          <c:extLst>
            <c:ext xmlns:c16="http://schemas.microsoft.com/office/drawing/2014/chart" uri="{C3380CC4-5D6E-409C-BE32-E72D297353CC}">
              <c16:uniqueId val="{00000000-101C-4248-AAA5-D5DC52B6E461}"/>
            </c:ext>
          </c:extLst>
        </c:ser>
        <c:dLbls>
          <c:showLegendKey val="0"/>
          <c:showVal val="0"/>
          <c:showCatName val="0"/>
          <c:showSerName val="0"/>
          <c:showPercent val="0"/>
          <c:showBubbleSize val="0"/>
        </c:dLbls>
        <c:smooth val="0"/>
        <c:axId val="699100168"/>
        <c:axId val="699099840"/>
      </c:lineChart>
      <c:dateAx>
        <c:axId val="699100168"/>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9099840"/>
        <c:crosses val="autoZero"/>
        <c:auto val="1"/>
        <c:lblOffset val="100"/>
        <c:baseTimeUnit val="days"/>
      </c:dateAx>
      <c:valAx>
        <c:axId val="6990998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99100168"/>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[Libang Axie Infinity Database.xlsx]Pivot Tables!*Monthly Average SLP Price</c:name>
    <c:fmtId val="4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a:t>SLP Token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Tables'!$C$2</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cat>
            <c:multiLvlStrRef>
              <c:f>'Pivot Tables'!$B$3:$B$12</c:f>
              <c:multiLvlStrCache>
                <c:ptCount val="8"/>
                <c:lvl>
                  <c:pt idx="0">
                    <c:v>Jul</c:v>
                  </c:pt>
                  <c:pt idx="1">
                    <c:v>Aug</c:v>
                  </c:pt>
                  <c:pt idx="2">
                    <c:v>Sep</c:v>
                  </c:pt>
                  <c:pt idx="3">
                    <c:v>Oct</c:v>
                  </c:pt>
                  <c:pt idx="4">
                    <c:v>Nov</c:v>
                  </c:pt>
                  <c:pt idx="5">
                    <c:v>Dec</c:v>
                  </c:pt>
                  <c:pt idx="6">
                    <c:v>Jan</c:v>
                  </c:pt>
                  <c:pt idx="7">
                    <c:v>Feb</c:v>
                  </c:pt>
                </c:lvl>
                <c:lvl>
                  <c:pt idx="0">
                    <c:v>2021</c:v>
                  </c:pt>
                  <c:pt idx="6">
                    <c:v>2022</c:v>
                  </c:pt>
                </c:lvl>
              </c:multiLvlStrCache>
            </c:multiLvlStrRef>
          </c:cat>
          <c:val>
            <c:numRef>
              <c:f>'Pivot Tables'!$C$3:$C$12</c:f>
              <c:numCache>
                <c:formatCode>[$₱-3409]#,##0.00</c:formatCode>
                <c:ptCount val="8"/>
                <c:pt idx="0">
                  <c:v>12.171428571428573</c:v>
                </c:pt>
                <c:pt idx="1">
                  <c:v>7.4017499999999981</c:v>
                </c:pt>
                <c:pt idx="2">
                  <c:v>5.503333333333333</c:v>
                </c:pt>
                <c:pt idx="3">
                  <c:v>3.6052727272727285</c:v>
                </c:pt>
                <c:pt idx="4">
                  <c:v>3.5654054054054027</c:v>
                </c:pt>
                <c:pt idx="5">
                  <c:v>1.8563414634146351</c:v>
                </c:pt>
                <c:pt idx="6">
                  <c:v>1.1358823529411757</c:v>
                </c:pt>
                <c:pt idx="7">
                  <c:v>0.5</c:v>
                </c:pt>
              </c:numCache>
            </c:numRef>
          </c:val>
          <c:smooth val="0"/>
          <c:extLst>
            <c:ext xmlns:c16="http://schemas.microsoft.com/office/drawing/2014/chart" uri="{C3380CC4-5D6E-409C-BE32-E72D297353CC}">
              <c16:uniqueId val="{00000003-FA84-4726-A54C-644CCD7064A5}"/>
            </c:ext>
          </c:extLst>
        </c:ser>
        <c:dLbls>
          <c:showLegendKey val="0"/>
          <c:showVal val="0"/>
          <c:showCatName val="0"/>
          <c:showSerName val="0"/>
          <c:showPercent val="0"/>
          <c:showBubbleSize val="0"/>
        </c:dLbls>
        <c:smooth val="0"/>
        <c:axId val="489389640"/>
        <c:axId val="489391936"/>
      </c:lineChart>
      <c:catAx>
        <c:axId val="489389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489391936"/>
        <c:crosses val="autoZero"/>
        <c:auto val="1"/>
        <c:lblAlgn val="ctr"/>
        <c:lblOffset val="100"/>
        <c:noMultiLvlLbl val="0"/>
      </c:catAx>
      <c:valAx>
        <c:axId val="48939193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3409]#,##0.0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489389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002060"/>
      </a:solidFill>
      <a:round/>
    </a:ln>
    <a:effectLst/>
  </c:spPr>
  <c:txPr>
    <a:bodyPr/>
    <a:lstStyle/>
    <a:p>
      <a:pPr>
        <a:defRPr>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[Libang Axie Infinity Database.xlsx]Pivot Tables!*Monthly Average SLP Farmed</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sz="1400"/>
              <a:t>Monthly Average SLP Farmed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Tables'!$F$2</c:f>
              <c:strCache>
                <c:ptCount val="1"/>
                <c:pt idx="0">
                  <c:v>Total</c:v>
                </c:pt>
              </c:strCache>
            </c:strRef>
          </c:tx>
          <c:spPr>
            <a:ln w="28575" cap="rnd">
              <a:solidFill>
                <a:schemeClr val="accent1"/>
              </a:solidFill>
              <a:round/>
            </a:ln>
            <a:effectLst/>
          </c:spPr>
          <c:marker>
            <c:symbol val="none"/>
          </c:marker>
          <c:cat>
            <c:multiLvlStrRef>
              <c:f>'Pivot Tables'!$E$3:$E$12</c:f>
              <c:multiLvlStrCache>
                <c:ptCount val="8"/>
                <c:lvl>
                  <c:pt idx="0">
                    <c:v>Jul</c:v>
                  </c:pt>
                  <c:pt idx="1">
                    <c:v>Aug</c:v>
                  </c:pt>
                  <c:pt idx="2">
                    <c:v>Sep</c:v>
                  </c:pt>
                  <c:pt idx="3">
                    <c:v>Oct</c:v>
                  </c:pt>
                  <c:pt idx="4">
                    <c:v>Nov</c:v>
                  </c:pt>
                  <c:pt idx="5">
                    <c:v>Dec</c:v>
                  </c:pt>
                  <c:pt idx="6">
                    <c:v>Jan</c:v>
                  </c:pt>
                  <c:pt idx="7">
                    <c:v>Feb</c:v>
                  </c:pt>
                </c:lvl>
                <c:lvl>
                  <c:pt idx="0">
                    <c:v>2021</c:v>
                  </c:pt>
                  <c:pt idx="6">
                    <c:v>2022</c:v>
                  </c:pt>
                </c:lvl>
              </c:multiLvlStrCache>
            </c:multiLvlStrRef>
          </c:cat>
          <c:val>
            <c:numRef>
              <c:f>'Pivot Tables'!$F$3:$F$12</c:f>
              <c:numCache>
                <c:formatCode>_(* #,##0_);_(* \(#,##0\);_(* "-"??_);_(@_)</c:formatCode>
                <c:ptCount val="8"/>
                <c:pt idx="0">
                  <c:v>2947.4285714285716</c:v>
                </c:pt>
                <c:pt idx="1">
                  <c:v>2440.35</c:v>
                </c:pt>
                <c:pt idx="2">
                  <c:v>1433.3333333333333</c:v>
                </c:pt>
                <c:pt idx="3">
                  <c:v>2069.0727272727272</c:v>
                </c:pt>
                <c:pt idx="4">
                  <c:v>2226.2837837837837</c:v>
                </c:pt>
                <c:pt idx="5">
                  <c:v>1973.1463414634147</c:v>
                </c:pt>
                <c:pt idx="6">
                  <c:v>1761.5490196078431</c:v>
                </c:pt>
                <c:pt idx="7">
                  <c:v>2099</c:v>
                </c:pt>
              </c:numCache>
            </c:numRef>
          </c:val>
          <c:smooth val="0"/>
          <c:extLst>
            <c:ext xmlns:c16="http://schemas.microsoft.com/office/drawing/2014/chart" uri="{C3380CC4-5D6E-409C-BE32-E72D297353CC}">
              <c16:uniqueId val="{00000003-769E-4CA5-AAB5-7A5AD6192E0B}"/>
            </c:ext>
          </c:extLst>
        </c:ser>
        <c:dLbls>
          <c:showLegendKey val="0"/>
          <c:showVal val="0"/>
          <c:showCatName val="0"/>
          <c:showSerName val="0"/>
          <c:showPercent val="0"/>
          <c:showBubbleSize val="0"/>
        </c:dLbls>
        <c:smooth val="0"/>
        <c:axId val="639584288"/>
        <c:axId val="639581336"/>
      </c:lineChart>
      <c:catAx>
        <c:axId val="63958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39581336"/>
        <c:crosses val="autoZero"/>
        <c:auto val="1"/>
        <c:lblAlgn val="ctr"/>
        <c:lblOffset val="100"/>
        <c:noMultiLvlLbl val="0"/>
      </c:catAx>
      <c:valAx>
        <c:axId val="6395813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63958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rgbClr val="002060"/>
      </a:solidFill>
      <a:round/>
    </a:ln>
    <a:effectLst/>
  </c:spPr>
  <c:txPr>
    <a:bodyPr/>
    <a:lstStyle/>
    <a:p>
      <a:pPr>
        <a:defRPr sz="1000">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[Libang Axie Infinity Database.xlsx]Pivot Tables!*Users SLP Per Month</c:name>
    <c:fmtId val="8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r>
              <a:rPr lang="en-US"/>
              <a:t>Monthly Total SLP Farmed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panose="020B0502040204020203" pitchFamily="34" charset="0"/>
                  <a:ea typeface="+mn-ea"/>
                  <a:cs typeface="Segoe UI" panose="020B0502040204020203"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pivotFmt>
      <c:pivotFmt>
        <c:idx val="21"/>
        <c:spPr>
          <a:solidFill>
            <a:schemeClr val="accent1"/>
          </a:solidFill>
          <a:ln w="28575" cap="rnd">
            <a:solidFill>
              <a:schemeClr val="accent1"/>
            </a:solidFill>
            <a:round/>
          </a:ln>
          <a:effectLst/>
        </c:spPr>
      </c:pivotFmt>
      <c:pivotFmt>
        <c:idx val="22"/>
        <c:spPr>
          <a:solidFill>
            <a:schemeClr val="accent1"/>
          </a:solidFill>
          <a:ln w="28575" cap="rnd">
            <a:solidFill>
              <a:schemeClr val="accent1"/>
            </a:solidFill>
            <a:round/>
          </a:ln>
          <a:effectLst/>
        </c:spPr>
      </c:pivotFmt>
      <c:pivotFmt>
        <c:idx val="23"/>
        <c:spPr>
          <a:solidFill>
            <a:schemeClr val="accent1"/>
          </a:solidFill>
          <a:ln w="28575" cap="rnd">
            <a:solidFill>
              <a:schemeClr val="accent1"/>
            </a:solidFill>
            <a:round/>
          </a:ln>
          <a:effectLst/>
        </c:spPr>
      </c:pivotFmt>
      <c:pivotFmt>
        <c:idx val="24"/>
        <c:spPr>
          <a:solidFill>
            <a:schemeClr val="accent1"/>
          </a:solidFill>
          <a:ln w="28575" cap="rnd">
            <a:solidFill>
              <a:schemeClr val="accent1"/>
            </a:solidFill>
            <a:round/>
          </a:ln>
          <a:effectLst/>
        </c:spPr>
      </c:pivotFmt>
      <c:pivotFmt>
        <c:idx val="25"/>
        <c:spPr>
          <a:solidFill>
            <a:schemeClr val="accent1"/>
          </a:solidFill>
          <a:ln w="28575" cap="rnd">
            <a:solidFill>
              <a:schemeClr val="accent1"/>
            </a:solidFill>
            <a:round/>
          </a:ln>
          <a:effectLst/>
        </c:spPr>
      </c:pivotFmt>
      <c:pivotFmt>
        <c:idx val="26"/>
        <c:spPr>
          <a:solidFill>
            <a:schemeClr val="accent1"/>
          </a:solidFill>
          <a:ln w="28575" cap="rnd">
            <a:solidFill>
              <a:schemeClr val="accent1"/>
            </a:solidFill>
            <a:round/>
          </a:ln>
          <a:effectLst/>
        </c:spPr>
      </c:pivotFmt>
    </c:pivotFmts>
    <c:plotArea>
      <c:layout/>
      <c:lineChart>
        <c:grouping val="standard"/>
        <c:varyColors val="0"/>
        <c:ser>
          <c:idx val="0"/>
          <c:order val="0"/>
          <c:tx>
            <c:strRef>
              <c:f>'Pivot Tables'!$I$2</c:f>
              <c:strCache>
                <c:ptCount val="1"/>
                <c:pt idx="0">
                  <c:v>Total</c:v>
                </c:pt>
              </c:strCache>
            </c:strRef>
          </c:tx>
          <c:spPr>
            <a:ln w="28575" cap="rnd">
              <a:solidFill>
                <a:schemeClr val="accent1"/>
              </a:solidFill>
              <a:round/>
            </a:ln>
            <a:effectLst/>
          </c:spPr>
          <c:marker>
            <c:symbol val="none"/>
          </c:marker>
          <c:cat>
            <c:multiLvlStrRef>
              <c:f>'Pivot Tables'!$H$3:$H$13</c:f>
              <c:multiLvlStrCache>
                <c:ptCount val="8"/>
                <c:lvl>
                  <c:pt idx="0">
                    <c:v>Jul</c:v>
                  </c:pt>
                  <c:pt idx="1">
                    <c:v>Aug</c:v>
                  </c:pt>
                  <c:pt idx="2">
                    <c:v>Sep</c:v>
                  </c:pt>
                  <c:pt idx="3">
                    <c:v>Oct</c:v>
                  </c:pt>
                  <c:pt idx="4">
                    <c:v>Nov</c:v>
                  </c:pt>
                  <c:pt idx="5">
                    <c:v>Dec</c:v>
                  </c:pt>
                  <c:pt idx="6">
                    <c:v>Jan</c:v>
                  </c:pt>
                  <c:pt idx="7">
                    <c:v>Feb</c:v>
                  </c:pt>
                </c:lvl>
                <c:lvl>
                  <c:pt idx="0">
                    <c:v>2021</c:v>
                  </c:pt>
                  <c:pt idx="6">
                    <c:v>2022</c:v>
                  </c:pt>
                </c:lvl>
              </c:multiLvlStrCache>
            </c:multiLvlStrRef>
          </c:cat>
          <c:val>
            <c:numRef>
              <c:f>'Pivot Tables'!$I$3:$I$13</c:f>
              <c:numCache>
                <c:formatCode>_(* #,##0_);_(* \(#,##0\);_(* "-"??_);_(@_)</c:formatCode>
                <c:ptCount val="8"/>
                <c:pt idx="0">
                  <c:v>41264</c:v>
                </c:pt>
                <c:pt idx="1">
                  <c:v>97614</c:v>
                </c:pt>
                <c:pt idx="2">
                  <c:v>8600</c:v>
                </c:pt>
                <c:pt idx="3">
                  <c:v>113799</c:v>
                </c:pt>
                <c:pt idx="4">
                  <c:v>164745</c:v>
                </c:pt>
                <c:pt idx="5">
                  <c:v>80899</c:v>
                </c:pt>
                <c:pt idx="6">
                  <c:v>89839</c:v>
                </c:pt>
                <c:pt idx="7">
                  <c:v>2099</c:v>
                </c:pt>
              </c:numCache>
            </c:numRef>
          </c:val>
          <c:smooth val="0"/>
          <c:extLst>
            <c:ext xmlns:c16="http://schemas.microsoft.com/office/drawing/2014/chart" uri="{C3380CC4-5D6E-409C-BE32-E72D297353CC}">
              <c16:uniqueId val="{00000000-0F5A-455B-880B-CEE3C58F2BF1}"/>
            </c:ext>
          </c:extLst>
        </c:ser>
        <c:dLbls>
          <c:showLegendKey val="0"/>
          <c:showVal val="0"/>
          <c:showCatName val="0"/>
          <c:showSerName val="0"/>
          <c:showPercent val="0"/>
          <c:showBubbleSize val="0"/>
        </c:dLbls>
        <c:smooth val="0"/>
        <c:axId val="710376568"/>
        <c:axId val="710378208"/>
      </c:lineChart>
      <c:catAx>
        <c:axId val="710376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710378208"/>
        <c:crosses val="autoZero"/>
        <c:auto val="1"/>
        <c:lblAlgn val="ctr"/>
        <c:lblOffset val="100"/>
        <c:noMultiLvlLbl val="0"/>
      </c:catAx>
      <c:valAx>
        <c:axId val="71037820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710376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1">
          <a:lumMod val="50000"/>
        </a:schemeClr>
      </a:solidFill>
      <a:round/>
    </a:ln>
    <a:effectLst/>
  </c:spPr>
  <c:txPr>
    <a:bodyPr/>
    <a:lstStyle/>
    <a:p>
      <a:pPr>
        <a:defRPr>
          <a:latin typeface="Segoe UI" panose="020B0502040204020203" pitchFamily="34" charset="0"/>
          <a:cs typeface="Segoe UI"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solidFill>
                <a:latin typeface="Segoe UI" panose="020B0502040204020203" pitchFamily="34" charset="0"/>
                <a:ea typeface="+mn-ea"/>
                <a:cs typeface="Segoe UI" panose="020B0502040204020203" pitchFamily="34" charset="0"/>
              </a:defRPr>
            </a:pPr>
            <a:r>
              <a:rPr lang="en-US">
                <a:latin typeface="Segoe UI" panose="020B0502040204020203" pitchFamily="34" charset="0"/>
                <a:cs typeface="Segoe UI" panose="020B0502040204020203" pitchFamily="34" charset="0"/>
              </a:rPr>
              <a:t>Last Payout SLP Amount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Segoe UI" panose="020B0502040204020203" pitchFamily="34" charset="0"/>
              <a:ea typeface="+mn-ea"/>
              <a:cs typeface="Segoe UI" panose="020B0502040204020203" pitchFamily="34" charset="0"/>
            </a:defRPr>
          </a:pPr>
          <a:endParaRPr lang="en-US"/>
        </a:p>
      </c:txPr>
    </c:title>
    <c:autoTitleDeleted val="0"/>
    <c:plotArea>
      <c:layout>
        <c:manualLayout>
          <c:layoutTarget val="inner"/>
          <c:xMode val="edge"/>
          <c:yMode val="edge"/>
          <c:x val="3.9839965386650404E-2"/>
          <c:y val="0.10056427435520279"/>
          <c:w val="0.94162312630484246"/>
          <c:h val="0.7099452532323236"/>
        </c:manualLayout>
      </c:layout>
      <c:barChart>
        <c:barDir val="col"/>
        <c:grouping val="clustered"/>
        <c:varyColors val="0"/>
        <c:ser>
          <c:idx val="0"/>
          <c:order val="0"/>
          <c:spPr>
            <a:solidFill>
              <a:schemeClr val="accent1"/>
            </a:solidFill>
            <a:ln>
              <a:noFill/>
            </a:ln>
            <a:effectLst/>
          </c:spPr>
          <c:invertIfNegative val="0"/>
          <c:cat>
            <c:strRef>
              <c:f>'User Performance'!$B$2:$B$51</c:f>
              <c:strCache>
                <c:ptCount val="49"/>
                <c:pt idx="0">
                  <c:v>Raze</c:v>
                </c:pt>
                <c:pt idx="1">
                  <c:v>Saksa</c:v>
                </c:pt>
                <c:pt idx="2">
                  <c:v>Timado</c:v>
                </c:pt>
                <c:pt idx="3">
                  <c:v>Tims</c:v>
                </c:pt>
                <c:pt idx="4">
                  <c:v>Sam</c:v>
                </c:pt>
                <c:pt idx="5">
                  <c:v>Mania</c:v>
                </c:pt>
                <c:pt idx="6">
                  <c:v>Hao</c:v>
                </c:pt>
                <c:pt idx="7">
                  <c:v>Fenrir</c:v>
                </c:pt>
                <c:pt idx="8">
                  <c:v>Borax</c:v>
                </c:pt>
                <c:pt idx="9">
                  <c:v>Allysa</c:v>
                </c:pt>
                <c:pt idx="10">
                  <c:v>Jogo</c:v>
                </c:pt>
                <c:pt idx="11">
                  <c:v>Tavo</c:v>
                </c:pt>
                <c:pt idx="12">
                  <c:v>Bulba</c:v>
                </c:pt>
                <c:pt idx="13">
                  <c:v>Arise</c:v>
                </c:pt>
                <c:pt idx="14">
                  <c:v>Mane</c:v>
                </c:pt>
                <c:pt idx="15">
                  <c:v>Canto</c:v>
                </c:pt>
                <c:pt idx="16">
                  <c:v>Wrath</c:v>
                </c:pt>
                <c:pt idx="17">
                  <c:v>Reinne</c:v>
                </c:pt>
                <c:pt idx="18">
                  <c:v>Tranquil</c:v>
                </c:pt>
                <c:pt idx="19">
                  <c:v>Obsi</c:v>
                </c:pt>
                <c:pt idx="20">
                  <c:v>Xin</c:v>
                </c:pt>
                <c:pt idx="21">
                  <c:v>Hammer</c:v>
                </c:pt>
                <c:pt idx="22">
                  <c:v>Pix</c:v>
                </c:pt>
                <c:pt idx="23">
                  <c:v>Bleak</c:v>
                </c:pt>
                <c:pt idx="24">
                  <c:v>Captn</c:v>
                </c:pt>
                <c:pt idx="25">
                  <c:v>Arth</c:v>
                </c:pt>
                <c:pt idx="26">
                  <c:v>Dott</c:v>
                </c:pt>
                <c:pt idx="27">
                  <c:v>Dond</c:v>
                </c:pt>
                <c:pt idx="28">
                  <c:v>Duck</c:v>
                </c:pt>
                <c:pt idx="29">
                  <c:v>Quelin</c:v>
                </c:pt>
                <c:pt idx="30">
                  <c:v>Toxi</c:v>
                </c:pt>
                <c:pt idx="31">
                  <c:v>Mik</c:v>
                </c:pt>
                <c:pt idx="32">
                  <c:v>Alpha</c:v>
                </c:pt>
                <c:pt idx="33">
                  <c:v>Yosh</c:v>
                </c:pt>
                <c:pt idx="34">
                  <c:v>Anons</c:v>
                </c:pt>
                <c:pt idx="35">
                  <c:v>Andreii</c:v>
                </c:pt>
                <c:pt idx="36">
                  <c:v>Carl</c:v>
                </c:pt>
                <c:pt idx="37">
                  <c:v>Kian</c:v>
                </c:pt>
                <c:pt idx="38">
                  <c:v>Haruhi</c:v>
                </c:pt>
                <c:pt idx="39">
                  <c:v>Ash</c:v>
                </c:pt>
                <c:pt idx="40">
                  <c:v>Suru</c:v>
                </c:pt>
                <c:pt idx="41">
                  <c:v>Lillo</c:v>
                </c:pt>
                <c:pt idx="42">
                  <c:v>Jgm</c:v>
                </c:pt>
                <c:pt idx="43">
                  <c:v>Oman</c:v>
                </c:pt>
                <c:pt idx="44">
                  <c:v>Uys</c:v>
                </c:pt>
                <c:pt idx="45">
                  <c:v>Smite</c:v>
                </c:pt>
                <c:pt idx="46">
                  <c:v>Fore</c:v>
                </c:pt>
                <c:pt idx="47">
                  <c:v>Vole</c:v>
                </c:pt>
                <c:pt idx="48">
                  <c:v>Dinn</c:v>
                </c:pt>
              </c:strCache>
            </c:strRef>
          </c:cat>
          <c:val>
            <c:numRef>
              <c:f>'User Performance'!$D$2:$D$51</c:f>
              <c:numCache>
                <c:formatCode>0</c:formatCode>
                <c:ptCount val="50"/>
                <c:pt idx="0">
                  <c:v>4705</c:v>
                </c:pt>
                <c:pt idx="1">
                  <c:v>3605</c:v>
                </c:pt>
                <c:pt idx="2">
                  <c:v>3414</c:v>
                </c:pt>
                <c:pt idx="3">
                  <c:v>1195</c:v>
                </c:pt>
                <c:pt idx="4">
                  <c:v>384</c:v>
                </c:pt>
                <c:pt idx="5">
                  <c:v>601</c:v>
                </c:pt>
                <c:pt idx="6">
                  <c:v>2192</c:v>
                </c:pt>
                <c:pt idx="7">
                  <c:v>2150</c:v>
                </c:pt>
                <c:pt idx="8">
                  <c:v>765</c:v>
                </c:pt>
                <c:pt idx="9">
                  <c:v>1737</c:v>
                </c:pt>
                <c:pt idx="10">
                  <c:v>477</c:v>
                </c:pt>
                <c:pt idx="11">
                  <c:v>1969</c:v>
                </c:pt>
                <c:pt idx="12">
                  <c:v>2042</c:v>
                </c:pt>
                <c:pt idx="13">
                  <c:v>4184</c:v>
                </c:pt>
                <c:pt idx="14">
                  <c:v>1172</c:v>
                </c:pt>
                <c:pt idx="15">
                  <c:v>2755</c:v>
                </c:pt>
                <c:pt idx="16">
                  <c:v>2001</c:v>
                </c:pt>
                <c:pt idx="17">
                  <c:v>1219</c:v>
                </c:pt>
                <c:pt idx="18">
                  <c:v>1278</c:v>
                </c:pt>
                <c:pt idx="19">
                  <c:v>2219</c:v>
                </c:pt>
                <c:pt idx="20">
                  <c:v>835</c:v>
                </c:pt>
                <c:pt idx="21">
                  <c:v>1893</c:v>
                </c:pt>
                <c:pt idx="22">
                  <c:v>141</c:v>
                </c:pt>
                <c:pt idx="23">
                  <c:v>1505</c:v>
                </c:pt>
                <c:pt idx="24">
                  <c:v>1489</c:v>
                </c:pt>
                <c:pt idx="25">
                  <c:v>1526</c:v>
                </c:pt>
                <c:pt idx="26">
                  <c:v>2696</c:v>
                </c:pt>
                <c:pt idx="27">
                  <c:v>2099</c:v>
                </c:pt>
                <c:pt idx="28">
                  <c:v>2213</c:v>
                </c:pt>
                <c:pt idx="29">
                  <c:v>563</c:v>
                </c:pt>
                <c:pt idx="30">
                  <c:v>1244</c:v>
                </c:pt>
                <c:pt idx="31">
                  <c:v>1242</c:v>
                </c:pt>
                <c:pt idx="32">
                  <c:v>1258</c:v>
                </c:pt>
                <c:pt idx="33">
                  <c:v>77</c:v>
                </c:pt>
                <c:pt idx="34">
                  <c:v>1584</c:v>
                </c:pt>
                <c:pt idx="35">
                  <c:v>750</c:v>
                </c:pt>
                <c:pt idx="36">
                  <c:v>2076</c:v>
                </c:pt>
                <c:pt idx="37">
                  <c:v>1761</c:v>
                </c:pt>
                <c:pt idx="38">
                  <c:v>1943</c:v>
                </c:pt>
                <c:pt idx="39">
                  <c:v>1674</c:v>
                </c:pt>
                <c:pt idx="40">
                  <c:v>1974</c:v>
                </c:pt>
                <c:pt idx="41">
                  <c:v>1986</c:v>
                </c:pt>
                <c:pt idx="42">
                  <c:v>914</c:v>
                </c:pt>
                <c:pt idx="43">
                  <c:v>639</c:v>
                </c:pt>
                <c:pt idx="44">
                  <c:v>2209</c:v>
                </c:pt>
                <c:pt idx="45">
                  <c:v>877</c:v>
                </c:pt>
                <c:pt idx="46">
                  <c:v>662</c:v>
                </c:pt>
                <c:pt idx="47">
                  <c:v>286</c:v>
                </c:pt>
                <c:pt idx="48">
                  <c:v>1477</c:v>
                </c:pt>
              </c:numCache>
            </c:numRef>
          </c:val>
          <c:extLst>
            <c:ext xmlns:c16="http://schemas.microsoft.com/office/drawing/2014/chart" uri="{C3380CC4-5D6E-409C-BE32-E72D297353CC}">
              <c16:uniqueId val="{00000000-085B-406A-BB65-A5C57AF8D774}"/>
            </c:ext>
          </c:extLst>
        </c:ser>
        <c:dLbls>
          <c:showLegendKey val="0"/>
          <c:showVal val="0"/>
          <c:showCatName val="0"/>
          <c:showSerName val="0"/>
          <c:showPercent val="0"/>
          <c:showBubbleSize val="0"/>
        </c:dLbls>
        <c:gapWidth val="219"/>
        <c:overlap val="-27"/>
        <c:axId val="268370144"/>
        <c:axId val="268367192"/>
        <c:extLst>
          <c:ext xmlns:c15="http://schemas.microsoft.com/office/drawing/2012/chart" uri="{02D57815-91ED-43cb-92C2-25804820EDAC}">
            <c15:filteredBarSeries>
              <c15:ser>
                <c:idx val="1"/>
                <c:order val="1"/>
                <c:spPr>
                  <a:solidFill>
                    <a:schemeClr val="accent2"/>
                  </a:solidFill>
                  <a:ln>
                    <a:noFill/>
                  </a:ln>
                  <a:effectLst/>
                </c:spPr>
                <c:invertIfNegative val="0"/>
                <c:cat>
                  <c:strRef>
                    <c:extLst>
                      <c:ext uri="{02D57815-91ED-43cb-92C2-25804820EDAC}">
                        <c15:formulaRef>
                          <c15:sqref>'User Performance'!$B$2:$B$51</c15:sqref>
                        </c15:formulaRef>
                      </c:ext>
                    </c:extLst>
                    <c:strCache>
                      <c:ptCount val="49"/>
                      <c:pt idx="0">
                        <c:v>Raze</c:v>
                      </c:pt>
                      <c:pt idx="1">
                        <c:v>Saksa</c:v>
                      </c:pt>
                      <c:pt idx="2">
                        <c:v>Timado</c:v>
                      </c:pt>
                      <c:pt idx="3">
                        <c:v>Tims</c:v>
                      </c:pt>
                      <c:pt idx="4">
                        <c:v>Sam</c:v>
                      </c:pt>
                      <c:pt idx="5">
                        <c:v>Mania</c:v>
                      </c:pt>
                      <c:pt idx="6">
                        <c:v>Hao</c:v>
                      </c:pt>
                      <c:pt idx="7">
                        <c:v>Fenrir</c:v>
                      </c:pt>
                      <c:pt idx="8">
                        <c:v>Borax</c:v>
                      </c:pt>
                      <c:pt idx="9">
                        <c:v>Allysa</c:v>
                      </c:pt>
                      <c:pt idx="10">
                        <c:v>Jogo</c:v>
                      </c:pt>
                      <c:pt idx="11">
                        <c:v>Tavo</c:v>
                      </c:pt>
                      <c:pt idx="12">
                        <c:v>Bulba</c:v>
                      </c:pt>
                      <c:pt idx="13">
                        <c:v>Arise</c:v>
                      </c:pt>
                      <c:pt idx="14">
                        <c:v>Mane</c:v>
                      </c:pt>
                      <c:pt idx="15">
                        <c:v>Canto</c:v>
                      </c:pt>
                      <c:pt idx="16">
                        <c:v>Wrath</c:v>
                      </c:pt>
                      <c:pt idx="17">
                        <c:v>Reinne</c:v>
                      </c:pt>
                      <c:pt idx="18">
                        <c:v>Tranquil</c:v>
                      </c:pt>
                      <c:pt idx="19">
                        <c:v>Obsi</c:v>
                      </c:pt>
                      <c:pt idx="20">
                        <c:v>Xin</c:v>
                      </c:pt>
                      <c:pt idx="21">
                        <c:v>Hammer</c:v>
                      </c:pt>
                      <c:pt idx="22">
                        <c:v>Pix</c:v>
                      </c:pt>
                      <c:pt idx="23">
                        <c:v>Bleak</c:v>
                      </c:pt>
                      <c:pt idx="24">
                        <c:v>Captn</c:v>
                      </c:pt>
                      <c:pt idx="25">
                        <c:v>Arth</c:v>
                      </c:pt>
                      <c:pt idx="26">
                        <c:v>Dott</c:v>
                      </c:pt>
                      <c:pt idx="27">
                        <c:v>Dond</c:v>
                      </c:pt>
                      <c:pt idx="28">
                        <c:v>Duck</c:v>
                      </c:pt>
                      <c:pt idx="29">
                        <c:v>Quelin</c:v>
                      </c:pt>
                      <c:pt idx="30">
                        <c:v>Toxi</c:v>
                      </c:pt>
                      <c:pt idx="31">
                        <c:v>Mik</c:v>
                      </c:pt>
                      <c:pt idx="32">
                        <c:v>Alpha</c:v>
                      </c:pt>
                      <c:pt idx="33">
                        <c:v>Yosh</c:v>
                      </c:pt>
                      <c:pt idx="34">
                        <c:v>Anons</c:v>
                      </c:pt>
                      <c:pt idx="35">
                        <c:v>Andreii</c:v>
                      </c:pt>
                      <c:pt idx="36">
                        <c:v>Carl</c:v>
                      </c:pt>
                      <c:pt idx="37">
                        <c:v>Kian</c:v>
                      </c:pt>
                      <c:pt idx="38">
                        <c:v>Haruhi</c:v>
                      </c:pt>
                      <c:pt idx="39">
                        <c:v>Ash</c:v>
                      </c:pt>
                      <c:pt idx="40">
                        <c:v>Suru</c:v>
                      </c:pt>
                      <c:pt idx="41">
                        <c:v>Lillo</c:v>
                      </c:pt>
                      <c:pt idx="42">
                        <c:v>Jgm</c:v>
                      </c:pt>
                      <c:pt idx="43">
                        <c:v>Oman</c:v>
                      </c:pt>
                      <c:pt idx="44">
                        <c:v>Uys</c:v>
                      </c:pt>
                      <c:pt idx="45">
                        <c:v>Smite</c:v>
                      </c:pt>
                      <c:pt idx="46">
                        <c:v>Fore</c:v>
                      </c:pt>
                      <c:pt idx="47">
                        <c:v>Vole</c:v>
                      </c:pt>
                      <c:pt idx="48">
                        <c:v>Dinn</c:v>
                      </c:pt>
                    </c:strCache>
                  </c:strRef>
                </c:cat>
                <c:val>
                  <c:numRef>
                    <c:extLst>
                      <c:ext uri="{02D57815-91ED-43cb-92C2-25804820EDAC}">
                        <c15:formulaRef>
                          <c15:sqref>'User Performance'!$E$2:$E$51</c15:sqref>
                        </c15:formulaRef>
                      </c:ext>
                    </c:extLst>
                    <c:numCache>
                      <c:formatCode>m/d/yyyy</c:formatCode>
                      <c:ptCount val="50"/>
                      <c:pt idx="0">
                        <c:v>44575</c:v>
                      </c:pt>
                      <c:pt idx="1">
                        <c:v>44530</c:v>
                      </c:pt>
                      <c:pt idx="2">
                        <c:v>44529</c:v>
                      </c:pt>
                      <c:pt idx="3">
                        <c:v>44577</c:v>
                      </c:pt>
                      <c:pt idx="4">
                        <c:v>44435</c:v>
                      </c:pt>
                      <c:pt idx="5">
                        <c:v>44574</c:v>
                      </c:pt>
                      <c:pt idx="6">
                        <c:v>44545</c:v>
                      </c:pt>
                      <c:pt idx="7">
                        <c:v>44579</c:v>
                      </c:pt>
                      <c:pt idx="8">
                        <c:v>44578</c:v>
                      </c:pt>
                      <c:pt idx="9">
                        <c:v>44575</c:v>
                      </c:pt>
                      <c:pt idx="10">
                        <c:v>44577</c:v>
                      </c:pt>
                      <c:pt idx="11">
                        <c:v>44577</c:v>
                      </c:pt>
                      <c:pt idx="12">
                        <c:v>44577</c:v>
                      </c:pt>
                      <c:pt idx="13">
                        <c:v>44565</c:v>
                      </c:pt>
                      <c:pt idx="14">
                        <c:v>44576</c:v>
                      </c:pt>
                      <c:pt idx="15">
                        <c:v>44564</c:v>
                      </c:pt>
                      <c:pt idx="16">
                        <c:v>44535</c:v>
                      </c:pt>
                      <c:pt idx="17">
                        <c:v>44437</c:v>
                      </c:pt>
                      <c:pt idx="18">
                        <c:v>44437</c:v>
                      </c:pt>
                      <c:pt idx="19">
                        <c:v>44437</c:v>
                      </c:pt>
                      <c:pt idx="20">
                        <c:v>44535</c:v>
                      </c:pt>
                      <c:pt idx="21">
                        <c:v>44576</c:v>
                      </c:pt>
                      <c:pt idx="22">
                        <c:v>44578</c:v>
                      </c:pt>
                      <c:pt idx="23">
                        <c:v>44535</c:v>
                      </c:pt>
                      <c:pt idx="24">
                        <c:v>44578</c:v>
                      </c:pt>
                      <c:pt idx="25">
                        <c:v>44550</c:v>
                      </c:pt>
                      <c:pt idx="26">
                        <c:v>44582</c:v>
                      </c:pt>
                      <c:pt idx="27">
                        <c:v>44593</c:v>
                      </c:pt>
                      <c:pt idx="28">
                        <c:v>44426</c:v>
                      </c:pt>
                      <c:pt idx="29">
                        <c:v>44576</c:v>
                      </c:pt>
                      <c:pt idx="30">
                        <c:v>44579</c:v>
                      </c:pt>
                      <c:pt idx="31">
                        <c:v>44576</c:v>
                      </c:pt>
                      <c:pt idx="32">
                        <c:v>44576</c:v>
                      </c:pt>
                      <c:pt idx="33">
                        <c:v>44574</c:v>
                      </c:pt>
                      <c:pt idx="34">
                        <c:v>44576</c:v>
                      </c:pt>
                      <c:pt idx="35">
                        <c:v>44481</c:v>
                      </c:pt>
                      <c:pt idx="36">
                        <c:v>44575</c:v>
                      </c:pt>
                      <c:pt idx="37">
                        <c:v>44575</c:v>
                      </c:pt>
                      <c:pt idx="38">
                        <c:v>44575</c:v>
                      </c:pt>
                      <c:pt idx="39">
                        <c:v>44579</c:v>
                      </c:pt>
                      <c:pt idx="40">
                        <c:v>44575</c:v>
                      </c:pt>
                      <c:pt idx="41">
                        <c:v>44575</c:v>
                      </c:pt>
                      <c:pt idx="42">
                        <c:v>44564</c:v>
                      </c:pt>
                      <c:pt idx="43">
                        <c:v>44515</c:v>
                      </c:pt>
                      <c:pt idx="44">
                        <c:v>44526</c:v>
                      </c:pt>
                      <c:pt idx="45">
                        <c:v>44551</c:v>
                      </c:pt>
                      <c:pt idx="46">
                        <c:v>44521</c:v>
                      </c:pt>
                      <c:pt idx="47">
                        <c:v>44578</c:v>
                      </c:pt>
                      <c:pt idx="48">
                        <c:v>44549</c:v>
                      </c:pt>
                    </c:numCache>
                  </c:numRef>
                </c:val>
                <c:extLst>
                  <c:ext xmlns:c16="http://schemas.microsoft.com/office/drawing/2014/chart" uri="{C3380CC4-5D6E-409C-BE32-E72D297353CC}">
                    <c16:uniqueId val="{00000001-085B-406A-BB65-A5C57AF8D774}"/>
                  </c:ext>
                </c:extLst>
              </c15:ser>
            </c15:filteredBarSeries>
          </c:ext>
        </c:extLst>
      </c:barChart>
      <c:catAx>
        <c:axId val="26837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268367192"/>
        <c:crosses val="autoZero"/>
        <c:auto val="1"/>
        <c:lblAlgn val="ctr"/>
        <c:lblOffset val="100"/>
        <c:noMultiLvlLbl val="0"/>
      </c:catAx>
      <c:valAx>
        <c:axId val="268367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panose="020B0502040204020203" pitchFamily="34" charset="0"/>
                <a:ea typeface="+mn-ea"/>
                <a:cs typeface="Segoe UI" panose="020B0502040204020203" pitchFamily="34" charset="0"/>
              </a:defRPr>
            </a:pPr>
            <a:endParaRPr lang="en-US"/>
          </a:p>
        </c:txPr>
        <c:crossAx val="268370144"/>
        <c:crosses val="autoZero"/>
        <c:crossBetween val="between"/>
      </c:valAx>
      <c:spPr>
        <a:noFill/>
        <a:ln>
          <a:noFill/>
        </a:ln>
        <a:effectLst/>
      </c:spPr>
    </c:plotArea>
    <c:plotVisOnly val="1"/>
    <c:dispBlanksAs val="gap"/>
    <c:showDLblsOverMax val="0"/>
  </c:chart>
  <c:spPr>
    <a:solidFill>
      <a:schemeClr val="bg1"/>
    </a:solidFill>
    <a:ln w="19050" cap="flat" cmpd="sng" algn="ctr">
      <a:solidFill>
        <a:srgbClr val="00206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[Libang Axie Infinity Database.xlsx]Pivot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Career SLP Farmed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Tables'!$F$14</c:f>
              <c:strCache>
                <c:ptCount val="1"/>
                <c:pt idx="0">
                  <c:v>Total</c:v>
                </c:pt>
              </c:strCache>
            </c:strRef>
          </c:tx>
          <c:spPr>
            <a:solidFill>
              <a:schemeClr val="accent1"/>
            </a:solidFill>
            <a:ln>
              <a:noFill/>
            </a:ln>
            <a:effectLst/>
          </c:spPr>
          <c:invertIfNegative val="0"/>
          <c:cat>
            <c:strRef>
              <c:f>'Pivot Tables'!$E$15:$E$30</c:f>
              <c:strCache>
                <c:ptCount val="15"/>
                <c:pt idx="0">
                  <c:v>Raze</c:v>
                </c:pt>
                <c:pt idx="1">
                  <c:v>Canto</c:v>
                </c:pt>
                <c:pt idx="2">
                  <c:v>Suru</c:v>
                </c:pt>
                <c:pt idx="3">
                  <c:v>Borax</c:v>
                </c:pt>
                <c:pt idx="4">
                  <c:v>Quelin</c:v>
                </c:pt>
                <c:pt idx="5">
                  <c:v>Timado</c:v>
                </c:pt>
                <c:pt idx="6">
                  <c:v>Dinn</c:v>
                </c:pt>
                <c:pt idx="7">
                  <c:v>Alpha</c:v>
                </c:pt>
                <c:pt idx="8">
                  <c:v>Arth</c:v>
                </c:pt>
                <c:pt idx="9">
                  <c:v>Arise</c:v>
                </c:pt>
                <c:pt idx="10">
                  <c:v>Lillo</c:v>
                </c:pt>
                <c:pt idx="11">
                  <c:v>Fenrir</c:v>
                </c:pt>
                <c:pt idx="12">
                  <c:v>Saksa</c:v>
                </c:pt>
                <c:pt idx="13">
                  <c:v>Dond</c:v>
                </c:pt>
                <c:pt idx="14">
                  <c:v>Carl</c:v>
                </c:pt>
              </c:strCache>
            </c:strRef>
          </c:cat>
          <c:val>
            <c:numRef>
              <c:f>'Pivot Tables'!$F$15:$F$30</c:f>
              <c:numCache>
                <c:formatCode>_(* #,##0_);_(* \(#,##0\);_(* "-"??_);_(@_)</c:formatCode>
                <c:ptCount val="15"/>
                <c:pt idx="0">
                  <c:v>41835</c:v>
                </c:pt>
                <c:pt idx="1">
                  <c:v>32693</c:v>
                </c:pt>
                <c:pt idx="2">
                  <c:v>32115</c:v>
                </c:pt>
                <c:pt idx="3">
                  <c:v>28990</c:v>
                </c:pt>
                <c:pt idx="4">
                  <c:v>28685</c:v>
                </c:pt>
                <c:pt idx="5">
                  <c:v>27974</c:v>
                </c:pt>
                <c:pt idx="6">
                  <c:v>27305</c:v>
                </c:pt>
                <c:pt idx="7">
                  <c:v>26977</c:v>
                </c:pt>
                <c:pt idx="8">
                  <c:v>25923</c:v>
                </c:pt>
                <c:pt idx="9">
                  <c:v>24749</c:v>
                </c:pt>
                <c:pt idx="10">
                  <c:v>24002</c:v>
                </c:pt>
                <c:pt idx="11">
                  <c:v>23710</c:v>
                </c:pt>
                <c:pt idx="12">
                  <c:v>22323</c:v>
                </c:pt>
                <c:pt idx="13">
                  <c:v>21704</c:v>
                </c:pt>
                <c:pt idx="14">
                  <c:v>21475</c:v>
                </c:pt>
              </c:numCache>
            </c:numRef>
          </c:val>
          <c:extLst>
            <c:ext xmlns:c16="http://schemas.microsoft.com/office/drawing/2014/chart" uri="{C3380CC4-5D6E-409C-BE32-E72D297353CC}">
              <c16:uniqueId val="{00000000-CE62-432A-BE6E-CA5404F57BDC}"/>
            </c:ext>
          </c:extLst>
        </c:ser>
        <c:dLbls>
          <c:showLegendKey val="0"/>
          <c:showVal val="0"/>
          <c:showCatName val="0"/>
          <c:showSerName val="0"/>
          <c:showPercent val="0"/>
          <c:showBubbleSize val="0"/>
        </c:dLbls>
        <c:gapWidth val="150"/>
        <c:overlap val="100"/>
        <c:axId val="500592224"/>
        <c:axId val="500592880"/>
      </c:barChart>
      <c:catAx>
        <c:axId val="50059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592880"/>
        <c:crosses val="autoZero"/>
        <c:auto val="1"/>
        <c:lblAlgn val="ctr"/>
        <c:lblOffset val="100"/>
        <c:noMultiLvlLbl val="0"/>
      </c:catAx>
      <c:valAx>
        <c:axId val="500592880"/>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592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jpe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jpeg"/></Relationships>
</file>

<file path=xl/drawings/drawing1.xml><?xml version="1.0" encoding="utf-8"?>
<xdr:wsDr xmlns:xdr="http://schemas.openxmlformats.org/drawingml/2006/spreadsheetDrawing" xmlns:a="http://schemas.openxmlformats.org/drawingml/2006/main">
  <xdr:twoCellAnchor>
    <xdr:from>
      <xdr:col>15</xdr:col>
      <xdr:colOff>263137</xdr:colOff>
      <xdr:row>51</xdr:row>
      <xdr:rowOff>166687</xdr:rowOff>
    </xdr:from>
    <xdr:to>
      <xdr:col>18</xdr:col>
      <xdr:colOff>600074</xdr:colOff>
      <xdr:row>64</xdr:row>
      <xdr:rowOff>75640</xdr:rowOff>
    </xdr:to>
    <xdr:sp macro="" textlink="">
      <xdr:nvSpPr>
        <xdr:cNvPr id="14" name="TextBox 13">
          <a:extLst>
            <a:ext uri="{FF2B5EF4-FFF2-40B4-BE49-F238E27FC236}">
              <a16:creationId xmlns:a16="http://schemas.microsoft.com/office/drawing/2014/main" id="{E3A38DC9-1066-4DC4-9DC1-EDD8B9A96411}"/>
            </a:ext>
          </a:extLst>
        </xdr:cNvPr>
        <xdr:cNvSpPr txBox="1"/>
      </xdr:nvSpPr>
      <xdr:spPr>
        <a:xfrm>
          <a:off x="12893287" y="9605962"/>
          <a:ext cx="2641987" cy="2261628"/>
        </a:xfrm>
        <a:prstGeom prst="rect">
          <a:avLst/>
        </a:prstGeom>
        <a:solidFill>
          <a:schemeClr val="lt1"/>
        </a:solidFill>
        <a:ln w="19050"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12</xdr:col>
      <xdr:colOff>142875</xdr:colOff>
      <xdr:row>23</xdr:row>
      <xdr:rowOff>57151</xdr:rowOff>
    </xdr:from>
    <xdr:to>
      <xdr:col>24</xdr:col>
      <xdr:colOff>115019</xdr:colOff>
      <xdr:row>37</xdr:row>
      <xdr:rowOff>171450</xdr:rowOff>
    </xdr:to>
    <xdr:graphicFrame macro="">
      <xdr:nvGraphicFramePr>
        <xdr:cNvPr id="2" name="Chart 1">
          <a:extLst>
            <a:ext uri="{FF2B5EF4-FFF2-40B4-BE49-F238E27FC236}">
              <a16:creationId xmlns:a16="http://schemas.microsoft.com/office/drawing/2014/main" id="{E2A6C211-A5AA-4585-989C-4A4369397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261589</xdr:colOff>
      <xdr:row>39</xdr:row>
      <xdr:rowOff>19050</xdr:rowOff>
    </xdr:from>
    <xdr:to>
      <xdr:col>25</xdr:col>
      <xdr:colOff>157844</xdr:colOff>
      <xdr:row>51</xdr:row>
      <xdr:rowOff>117662</xdr:rowOff>
    </xdr:to>
    <xdr:graphicFrame macro="">
      <xdr:nvGraphicFramePr>
        <xdr:cNvPr id="5" name="Chart 4">
          <a:extLst>
            <a:ext uri="{FF2B5EF4-FFF2-40B4-BE49-F238E27FC236}">
              <a16:creationId xmlns:a16="http://schemas.microsoft.com/office/drawing/2014/main" id="{9BCFCA22-8FE6-448F-9DDB-F0C4DB498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802781</xdr:colOff>
      <xdr:row>39</xdr:row>
      <xdr:rowOff>20017</xdr:rowOff>
    </xdr:from>
    <xdr:to>
      <xdr:col>15</xdr:col>
      <xdr:colOff>196338</xdr:colOff>
      <xdr:row>51</xdr:row>
      <xdr:rowOff>116309</xdr:rowOff>
    </xdr:to>
    <xdr:graphicFrame macro="">
      <xdr:nvGraphicFramePr>
        <xdr:cNvPr id="6" name="Chart 5">
          <a:extLst>
            <a:ext uri="{FF2B5EF4-FFF2-40B4-BE49-F238E27FC236}">
              <a16:creationId xmlns:a16="http://schemas.microsoft.com/office/drawing/2014/main" id="{E757E02A-721C-4887-8E5F-70097F987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66675</xdr:colOff>
      <xdr:row>18</xdr:row>
      <xdr:rowOff>76200</xdr:rowOff>
    </xdr:from>
    <xdr:to>
      <xdr:col>25</xdr:col>
      <xdr:colOff>0</xdr:colOff>
      <xdr:row>22</xdr:row>
      <xdr:rowOff>161925</xdr:rowOff>
    </xdr:to>
    <xdr:sp macro="" textlink="">
      <xdr:nvSpPr>
        <xdr:cNvPr id="7" name="TextBox 6">
          <a:extLst>
            <a:ext uri="{FF2B5EF4-FFF2-40B4-BE49-F238E27FC236}">
              <a16:creationId xmlns:a16="http://schemas.microsoft.com/office/drawing/2014/main" id="{4D26E002-9560-4341-99D0-BFD6BFF6AB2B}"/>
            </a:ext>
          </a:extLst>
        </xdr:cNvPr>
        <xdr:cNvSpPr txBox="1"/>
      </xdr:nvSpPr>
      <xdr:spPr>
        <a:xfrm>
          <a:off x="15668625" y="3505200"/>
          <a:ext cx="1962150" cy="809625"/>
        </a:xfrm>
        <a:prstGeom prst="rect">
          <a:avLst/>
        </a:prstGeom>
        <a:solidFill>
          <a:schemeClr val="lt1"/>
        </a:solidFill>
        <a:ln w="12700"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panose="020B0502040204020203" pitchFamily="34" charset="0"/>
              <a:cs typeface="Segoe UI" panose="020B0502040204020203" pitchFamily="34" charset="0"/>
            </a:rPr>
            <a:t>Legend:</a:t>
          </a:r>
        </a:p>
        <a:p>
          <a:r>
            <a:rPr lang="en-US" sz="800">
              <a:latin typeface="Segoe UI" panose="020B0502040204020203" pitchFamily="34" charset="0"/>
              <a:cs typeface="Segoe UI" panose="020B0502040204020203" pitchFamily="34" charset="0"/>
            </a:rPr>
            <a:t>       Above Average Performance</a:t>
          </a:r>
        </a:p>
        <a:p>
          <a:r>
            <a:rPr lang="en-US" sz="1100">
              <a:solidFill>
                <a:schemeClr val="dk1"/>
              </a:solidFill>
              <a:effectLst/>
              <a:latin typeface="+mn-lt"/>
              <a:ea typeface="+mn-ea"/>
              <a:cs typeface="+mn-cs"/>
            </a:rPr>
            <a:t>      </a:t>
          </a:r>
          <a:r>
            <a:rPr lang="en-US" sz="800">
              <a:latin typeface="Segoe UI" panose="020B0502040204020203" pitchFamily="34" charset="0"/>
              <a:cs typeface="Segoe UI" panose="020B0502040204020203" pitchFamily="34" charset="0"/>
            </a:rPr>
            <a:t>Average Performance</a:t>
          </a:r>
        </a:p>
        <a:p>
          <a:r>
            <a:rPr lang="en-US" sz="1100">
              <a:solidFill>
                <a:schemeClr val="dk1"/>
              </a:solidFill>
              <a:effectLst/>
              <a:latin typeface="+mn-lt"/>
              <a:ea typeface="+mn-ea"/>
              <a:cs typeface="+mn-cs"/>
            </a:rPr>
            <a:t>      </a:t>
          </a:r>
          <a:r>
            <a:rPr lang="en-US" sz="800">
              <a:latin typeface="Segoe UI" panose="020B0502040204020203" pitchFamily="34" charset="0"/>
              <a:cs typeface="Segoe UI" panose="020B0502040204020203" pitchFamily="34" charset="0"/>
            </a:rPr>
            <a:t>Below</a:t>
          </a:r>
          <a:r>
            <a:rPr lang="en-US" sz="800" baseline="0">
              <a:latin typeface="Segoe UI" panose="020B0502040204020203" pitchFamily="34" charset="0"/>
              <a:cs typeface="Segoe UI" panose="020B0502040204020203" pitchFamily="34" charset="0"/>
            </a:rPr>
            <a:t> Average Performance</a:t>
          </a:r>
          <a:endParaRPr lang="en-US" sz="800">
            <a:latin typeface="Segoe UI" panose="020B0502040204020203" pitchFamily="34" charset="0"/>
            <a:cs typeface="Segoe UI" panose="020B0502040204020203" pitchFamily="34" charset="0"/>
          </a:endParaRPr>
        </a:p>
      </xdr:txBody>
    </xdr:sp>
    <xdr:clientData/>
  </xdr:twoCellAnchor>
  <xdr:twoCellAnchor editAs="oneCell">
    <xdr:from>
      <xdr:col>19</xdr:col>
      <xdr:colOff>185737</xdr:colOff>
      <xdr:row>19</xdr:row>
      <xdr:rowOff>138113</xdr:rowOff>
    </xdr:from>
    <xdr:to>
      <xdr:col>19</xdr:col>
      <xdr:colOff>324802</xdr:colOff>
      <xdr:row>20</xdr:row>
      <xdr:rowOff>82868</xdr:rowOff>
    </xdr:to>
    <xdr:pic>
      <xdr:nvPicPr>
        <xdr:cNvPr id="10" name="Picture 9">
          <a:extLst>
            <a:ext uri="{FF2B5EF4-FFF2-40B4-BE49-F238E27FC236}">
              <a16:creationId xmlns:a16="http://schemas.microsoft.com/office/drawing/2014/main" id="{D4AA1C1A-E7B5-4C19-80FD-5C250F3DF68F}"/>
            </a:ext>
          </a:extLst>
        </xdr:cNvPr>
        <xdr:cNvPicPr>
          <a:picLocks noChangeAspect="1"/>
        </xdr:cNvPicPr>
      </xdr:nvPicPr>
      <xdr:blipFill>
        <a:blip xmlns:r="http://schemas.openxmlformats.org/officeDocument/2006/relationships" r:embed="rId4"/>
        <a:stretch>
          <a:fillRect/>
        </a:stretch>
      </xdr:blipFill>
      <xdr:spPr>
        <a:xfrm>
          <a:off x="15787687" y="3748088"/>
          <a:ext cx="139065" cy="125730"/>
        </a:xfrm>
        <a:prstGeom prst="rect">
          <a:avLst/>
        </a:prstGeom>
      </xdr:spPr>
    </xdr:pic>
    <xdr:clientData/>
  </xdr:twoCellAnchor>
  <xdr:twoCellAnchor editAs="oneCell">
    <xdr:from>
      <xdr:col>19</xdr:col>
      <xdr:colOff>186214</xdr:colOff>
      <xdr:row>20</xdr:row>
      <xdr:rowOff>113351</xdr:rowOff>
    </xdr:from>
    <xdr:to>
      <xdr:col>19</xdr:col>
      <xdr:colOff>323374</xdr:colOff>
      <xdr:row>21</xdr:row>
      <xdr:rowOff>59534</xdr:rowOff>
    </xdr:to>
    <xdr:pic>
      <xdr:nvPicPr>
        <xdr:cNvPr id="11" name="Picture 10">
          <a:extLst>
            <a:ext uri="{FF2B5EF4-FFF2-40B4-BE49-F238E27FC236}">
              <a16:creationId xmlns:a16="http://schemas.microsoft.com/office/drawing/2014/main" id="{373E46F6-42A8-4222-B775-0E1FE600A8A9}"/>
            </a:ext>
          </a:extLst>
        </xdr:cNvPr>
        <xdr:cNvPicPr>
          <a:picLocks noChangeAspect="1"/>
        </xdr:cNvPicPr>
      </xdr:nvPicPr>
      <xdr:blipFill>
        <a:blip xmlns:r="http://schemas.openxmlformats.org/officeDocument/2006/relationships" r:embed="rId5"/>
        <a:stretch>
          <a:fillRect/>
        </a:stretch>
      </xdr:blipFill>
      <xdr:spPr>
        <a:xfrm>
          <a:off x="15788164" y="3904301"/>
          <a:ext cx="137160" cy="127158"/>
        </a:xfrm>
        <a:prstGeom prst="rect">
          <a:avLst/>
        </a:prstGeom>
      </xdr:spPr>
    </xdr:pic>
    <xdr:clientData/>
  </xdr:twoCellAnchor>
  <xdr:twoCellAnchor editAs="oneCell">
    <xdr:from>
      <xdr:col>19</xdr:col>
      <xdr:colOff>184786</xdr:colOff>
      <xdr:row>21</xdr:row>
      <xdr:rowOff>104301</xdr:rowOff>
    </xdr:from>
    <xdr:to>
      <xdr:col>19</xdr:col>
      <xdr:colOff>323850</xdr:colOff>
      <xdr:row>22</xdr:row>
      <xdr:rowOff>50008</xdr:rowOff>
    </xdr:to>
    <xdr:pic>
      <xdr:nvPicPr>
        <xdr:cNvPr id="12" name="Picture 11">
          <a:extLst>
            <a:ext uri="{FF2B5EF4-FFF2-40B4-BE49-F238E27FC236}">
              <a16:creationId xmlns:a16="http://schemas.microsoft.com/office/drawing/2014/main" id="{19F0BAF5-4AC0-444F-8816-FE058498646F}"/>
            </a:ext>
          </a:extLst>
        </xdr:cNvPr>
        <xdr:cNvPicPr>
          <a:picLocks noChangeAspect="1"/>
        </xdr:cNvPicPr>
      </xdr:nvPicPr>
      <xdr:blipFill>
        <a:blip xmlns:r="http://schemas.openxmlformats.org/officeDocument/2006/relationships" r:embed="rId6"/>
        <a:stretch>
          <a:fillRect/>
        </a:stretch>
      </xdr:blipFill>
      <xdr:spPr>
        <a:xfrm>
          <a:off x="15786736" y="4076226"/>
          <a:ext cx="139064" cy="126682"/>
        </a:xfrm>
        <a:prstGeom prst="rect">
          <a:avLst/>
        </a:prstGeom>
      </xdr:spPr>
    </xdr:pic>
    <xdr:clientData/>
  </xdr:twoCellAnchor>
  <xdr:twoCellAnchor>
    <xdr:from>
      <xdr:col>9</xdr:col>
      <xdr:colOff>803734</xdr:colOff>
      <xdr:row>51</xdr:row>
      <xdr:rowOff>164792</xdr:rowOff>
    </xdr:from>
    <xdr:to>
      <xdr:col>15</xdr:col>
      <xdr:colOff>196338</xdr:colOff>
      <xdr:row>64</xdr:row>
      <xdr:rowOff>76684</xdr:rowOff>
    </xdr:to>
    <xdr:graphicFrame macro="">
      <xdr:nvGraphicFramePr>
        <xdr:cNvPr id="13" name="Chart 12">
          <a:extLst>
            <a:ext uri="{FF2B5EF4-FFF2-40B4-BE49-F238E27FC236}">
              <a16:creationId xmlns:a16="http://schemas.microsoft.com/office/drawing/2014/main" id="{39D8BD7C-385A-4FC1-8098-C52E94FEC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66676</xdr:colOff>
      <xdr:row>39</xdr:row>
      <xdr:rowOff>21566</xdr:rowOff>
    </xdr:from>
    <xdr:to>
      <xdr:col>9</xdr:col>
      <xdr:colOff>742950</xdr:colOff>
      <xdr:row>64</xdr:row>
      <xdr:rowOff>75481</xdr:rowOff>
    </xdr:to>
    <xdr:graphicFrame macro="">
      <xdr:nvGraphicFramePr>
        <xdr:cNvPr id="15" name="Chart 14">
          <a:extLst>
            <a:ext uri="{FF2B5EF4-FFF2-40B4-BE49-F238E27FC236}">
              <a16:creationId xmlns:a16="http://schemas.microsoft.com/office/drawing/2014/main" id="{CF90EF3D-C1BD-4976-B4AF-90FB8536D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95250</xdr:colOff>
      <xdr:row>0</xdr:row>
      <xdr:rowOff>238124</xdr:rowOff>
    </xdr:from>
    <xdr:to>
      <xdr:col>18</xdr:col>
      <xdr:colOff>647700</xdr:colOff>
      <xdr:row>20</xdr:row>
      <xdr:rowOff>114299</xdr:rowOff>
    </xdr:to>
    <xdr:sp macro="" textlink="">
      <xdr:nvSpPr>
        <xdr:cNvPr id="3" name="TextBox 2">
          <a:extLst>
            <a:ext uri="{FF2B5EF4-FFF2-40B4-BE49-F238E27FC236}">
              <a16:creationId xmlns:a16="http://schemas.microsoft.com/office/drawing/2014/main" id="{7C1E58D9-91BD-4F04-B082-8677AE2E341A}"/>
            </a:ext>
          </a:extLst>
        </xdr:cNvPr>
        <xdr:cNvSpPr txBox="1"/>
      </xdr:nvSpPr>
      <xdr:spPr>
        <a:xfrm>
          <a:off x="13696950" y="238124"/>
          <a:ext cx="1885950" cy="3667125"/>
        </a:xfrm>
        <a:prstGeom prst="rect">
          <a:avLst/>
        </a:prstGeom>
        <a:solidFill>
          <a:schemeClr val="lt1"/>
        </a:solidFill>
        <a:ln w="19050"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Segoe UI" panose="020B0502040204020203" pitchFamily="34" charset="0"/>
              <a:cs typeface="Segoe UI" panose="020B0502040204020203" pitchFamily="34" charset="0"/>
            </a:rPr>
            <a:t>To Do:</a:t>
          </a:r>
        </a:p>
        <a:p>
          <a:endParaRPr lang="en-US" sz="1100">
            <a:latin typeface="Segoe UI" panose="020B0502040204020203" pitchFamily="34" charset="0"/>
            <a:cs typeface="Segoe UI" panose="020B0502040204020203" pitchFamily="34" charset="0"/>
          </a:endParaRPr>
        </a:p>
        <a:p>
          <a:endParaRPr lang="en-US" sz="1100">
            <a:latin typeface="Segoe UI" panose="020B0502040204020203" pitchFamily="34" charset="0"/>
            <a:cs typeface="Segoe UI" panose="020B0502040204020203" pitchFamily="34" charset="0"/>
          </a:endParaRPr>
        </a:p>
        <a:p>
          <a:endParaRPr lang="en-US" sz="1100">
            <a:latin typeface="Segoe UI" panose="020B0502040204020203" pitchFamily="34" charset="0"/>
            <a:cs typeface="Segoe UI" panose="020B0502040204020203" pitchFamily="34" charset="0"/>
          </a:endParaRPr>
        </a:p>
      </xdr:txBody>
    </xdr:sp>
    <xdr:clientData/>
  </xdr:twoCellAnchor>
  <xdr:twoCellAnchor editAs="oneCell">
    <xdr:from>
      <xdr:col>15</xdr:col>
      <xdr:colOff>308047</xdr:colOff>
      <xdr:row>52</xdr:row>
      <xdr:rowOff>20990</xdr:rowOff>
    </xdr:from>
    <xdr:to>
      <xdr:col>18</xdr:col>
      <xdr:colOff>552450</xdr:colOff>
      <xdr:row>58</xdr:row>
      <xdr:rowOff>90620</xdr:rowOff>
    </xdr:to>
    <mc:AlternateContent xmlns:mc="http://schemas.openxmlformats.org/markup-compatibility/2006" xmlns:a14="http://schemas.microsoft.com/office/drawing/2010/main">
      <mc:Choice Requires="a14">
        <xdr:graphicFrame macro="">
          <xdr:nvGraphicFramePr>
            <xdr:cNvPr id="4" name="Quarters">
              <a:extLst>
                <a:ext uri="{FF2B5EF4-FFF2-40B4-BE49-F238E27FC236}">
                  <a16:creationId xmlns:a16="http://schemas.microsoft.com/office/drawing/2014/main" id="{B5356ADA-C60D-4A97-89C3-AB26B364AEAC}"/>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2938197" y="9650765"/>
              <a:ext cx="2549453" cy="1212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308047</xdr:colOff>
      <xdr:row>58</xdr:row>
      <xdr:rowOff>175894</xdr:rowOff>
    </xdr:from>
    <xdr:to>
      <xdr:col>18</xdr:col>
      <xdr:colOff>542925</xdr:colOff>
      <xdr:row>64</xdr:row>
      <xdr:rowOff>4395</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C992BC51-3FBF-49BF-9C42-11D23CD8138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2938197" y="10948669"/>
              <a:ext cx="2539928" cy="952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87630</xdr:colOff>
      <xdr:row>21</xdr:row>
      <xdr:rowOff>1</xdr:rowOff>
    </xdr:from>
    <xdr:to>
      <xdr:col>17</xdr:col>
      <xdr:colOff>645101</xdr:colOff>
      <xdr:row>21</xdr:row>
      <xdr:rowOff>182095</xdr:rowOff>
    </xdr:to>
    <xdr:sp macro="" textlink="">
      <xdr:nvSpPr>
        <xdr:cNvPr id="9" name="TextBox 8">
          <a:extLst>
            <a:ext uri="{FF2B5EF4-FFF2-40B4-BE49-F238E27FC236}">
              <a16:creationId xmlns:a16="http://schemas.microsoft.com/office/drawing/2014/main" id="{DC750DA2-0BEE-4F16-A89B-56E4F56AC703}"/>
            </a:ext>
          </a:extLst>
        </xdr:cNvPr>
        <xdr:cNvSpPr txBox="1"/>
      </xdr:nvSpPr>
      <xdr:spPr>
        <a:xfrm>
          <a:off x="13689330" y="4004311"/>
          <a:ext cx="1224221" cy="182094"/>
        </a:xfrm>
        <a:prstGeom prst="rect">
          <a:avLst/>
        </a:prstGeom>
        <a:solidFill>
          <a:schemeClr val="lt1"/>
        </a:solidFill>
        <a:ln w="317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Segoe UI Semibold" panose="020B0702040204020203" pitchFamily="34" charset="0"/>
              <a:cs typeface="Segoe UI Semibold" panose="020B0702040204020203" pitchFamily="34" charset="0"/>
            </a:rPr>
            <a:t>Scholar</a:t>
          </a:r>
          <a:r>
            <a:rPr lang="en-US" sz="800" baseline="0">
              <a:latin typeface="Segoe UI Semibold" panose="020B0702040204020203" pitchFamily="34" charset="0"/>
              <a:cs typeface="Segoe UI Semibold" panose="020B0702040204020203" pitchFamily="34" charset="0"/>
            </a:rPr>
            <a:t> Mode </a:t>
          </a:r>
          <a:r>
            <a:rPr lang="en-US" sz="700" baseline="0">
              <a:latin typeface="Segoe UI" panose="020B0502040204020203" pitchFamily="34" charset="0"/>
              <a:cs typeface="Segoe UI" panose="020B0502040204020203" pitchFamily="34" charset="0"/>
            </a:rPr>
            <a:t>(Yes/No)</a:t>
          </a:r>
          <a:endParaRPr lang="en-US" sz="700">
            <a:latin typeface="Segoe UI" panose="020B0502040204020203" pitchFamily="34" charset="0"/>
            <a:cs typeface="Segoe UI" panose="020B05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xdr:colOff>
      <xdr:row>31</xdr:row>
      <xdr:rowOff>0</xdr:rowOff>
    </xdr:from>
    <xdr:to>
      <xdr:col>9</xdr:col>
      <xdr:colOff>0</xdr:colOff>
      <xdr:row>46</xdr:row>
      <xdr:rowOff>0</xdr:rowOff>
    </xdr:to>
    <xdr:graphicFrame macro="">
      <xdr:nvGraphicFramePr>
        <xdr:cNvPr id="4" name="Chart 3">
          <a:extLst>
            <a:ext uri="{FF2B5EF4-FFF2-40B4-BE49-F238E27FC236}">
              <a16:creationId xmlns:a16="http://schemas.microsoft.com/office/drawing/2014/main" id="{4F8A902F-0F45-41B6-906D-92686848D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xdr:colOff>
      <xdr:row>2</xdr:row>
      <xdr:rowOff>9525</xdr:rowOff>
    </xdr:from>
    <xdr:to>
      <xdr:col>9</xdr:col>
      <xdr:colOff>590550</xdr:colOff>
      <xdr:row>29</xdr:row>
      <xdr:rowOff>75292</xdr:rowOff>
    </xdr:to>
    <xdr:pic>
      <xdr:nvPicPr>
        <xdr:cNvPr id="2" name="Picture 1">
          <a:extLst>
            <a:ext uri="{FF2B5EF4-FFF2-40B4-BE49-F238E27FC236}">
              <a16:creationId xmlns:a16="http://schemas.microsoft.com/office/drawing/2014/main" id="{EEEDDD91-B500-4865-9D2F-AE3DD18B8119}"/>
            </a:ext>
          </a:extLst>
        </xdr:cNvPr>
        <xdr:cNvPicPr>
          <a:picLocks noChangeAspect="1"/>
        </xdr:cNvPicPr>
      </xdr:nvPicPr>
      <xdr:blipFill>
        <a:blip xmlns:r="http://schemas.openxmlformats.org/officeDocument/2006/relationships" r:embed="rId1"/>
        <a:stretch>
          <a:fillRect/>
        </a:stretch>
      </xdr:blipFill>
      <xdr:spPr>
        <a:xfrm>
          <a:off x="619125" y="390525"/>
          <a:ext cx="5895975" cy="52092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186267</xdr:colOff>
      <xdr:row>113</xdr:row>
      <xdr:rowOff>114300</xdr:rowOff>
    </xdr:from>
    <xdr:to>
      <xdr:col>11</xdr:col>
      <xdr:colOff>379052</xdr:colOff>
      <xdr:row>130</xdr:row>
      <xdr:rowOff>35814</xdr:rowOff>
    </xdr:to>
    <xdr:pic>
      <xdr:nvPicPr>
        <xdr:cNvPr id="3" name="Picture 2">
          <a:extLst>
            <a:ext uri="{FF2B5EF4-FFF2-40B4-BE49-F238E27FC236}">
              <a16:creationId xmlns:a16="http://schemas.microsoft.com/office/drawing/2014/main" id="{3423CB8C-B4B0-4E50-AB9A-1807714BB1DC}"/>
            </a:ext>
          </a:extLst>
        </xdr:cNvPr>
        <xdr:cNvPicPr>
          <a:picLocks noChangeAspect="1"/>
        </xdr:cNvPicPr>
      </xdr:nvPicPr>
      <xdr:blipFill>
        <a:blip xmlns:r="http://schemas.openxmlformats.org/officeDocument/2006/relationships" r:embed="rId1"/>
        <a:stretch>
          <a:fillRect/>
        </a:stretch>
      </xdr:blipFill>
      <xdr:spPr>
        <a:xfrm>
          <a:off x="186267" y="23793450"/>
          <a:ext cx="6193535" cy="3483864"/>
        </a:xfrm>
        <a:prstGeom prst="rect">
          <a:avLst/>
        </a:prstGeom>
      </xdr:spPr>
    </xdr:pic>
    <xdr:clientData/>
  </xdr:twoCellAnchor>
  <xdr:twoCellAnchor editAs="oneCell">
    <xdr:from>
      <xdr:col>20</xdr:col>
      <xdr:colOff>104775</xdr:colOff>
      <xdr:row>113</xdr:row>
      <xdr:rowOff>114300</xdr:rowOff>
    </xdr:from>
    <xdr:to>
      <xdr:col>30</xdr:col>
      <xdr:colOff>206375</xdr:colOff>
      <xdr:row>130</xdr:row>
      <xdr:rowOff>38100</xdr:rowOff>
    </xdr:to>
    <xdr:pic>
      <xdr:nvPicPr>
        <xdr:cNvPr id="5" name="Picture 4">
          <a:extLst>
            <a:ext uri="{FF2B5EF4-FFF2-40B4-BE49-F238E27FC236}">
              <a16:creationId xmlns:a16="http://schemas.microsoft.com/office/drawing/2014/main" id="{CBA72CF7-A207-4E11-A5BE-1108831A5399}"/>
            </a:ext>
          </a:extLst>
        </xdr:cNvPr>
        <xdr:cNvPicPr>
          <a:picLocks noChangeAspect="1"/>
        </xdr:cNvPicPr>
      </xdr:nvPicPr>
      <xdr:blipFill>
        <a:blip xmlns:r="http://schemas.openxmlformats.org/officeDocument/2006/relationships" r:embed="rId2"/>
        <a:stretch>
          <a:fillRect/>
        </a:stretch>
      </xdr:blipFill>
      <xdr:spPr>
        <a:xfrm>
          <a:off x="11591925" y="23793450"/>
          <a:ext cx="6197600" cy="3486150"/>
        </a:xfrm>
        <a:prstGeom prst="rect">
          <a:avLst/>
        </a:prstGeom>
      </xdr:spPr>
    </xdr:pic>
    <xdr:clientData/>
  </xdr:twoCellAnchor>
  <xdr:twoCellAnchor editAs="oneCell">
    <xdr:from>
      <xdr:col>1</xdr:col>
      <xdr:colOff>28575</xdr:colOff>
      <xdr:row>32</xdr:row>
      <xdr:rowOff>85725</xdr:rowOff>
    </xdr:from>
    <xdr:to>
      <xdr:col>14</xdr:col>
      <xdr:colOff>285750</xdr:colOff>
      <xdr:row>51</xdr:row>
      <xdr:rowOff>145655</xdr:rowOff>
    </xdr:to>
    <xdr:pic>
      <xdr:nvPicPr>
        <xdr:cNvPr id="7" name="Picture 6" descr="How Axie Infinity is turning gaming on its head">
          <a:extLst>
            <a:ext uri="{FF2B5EF4-FFF2-40B4-BE49-F238E27FC236}">
              <a16:creationId xmlns:a16="http://schemas.microsoft.com/office/drawing/2014/main" id="{E257AF6F-DEA7-45AC-90E0-C3E769055D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8125" y="6791325"/>
          <a:ext cx="7877175" cy="4041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419101</xdr:colOff>
      <xdr:row>35</xdr:row>
      <xdr:rowOff>76200</xdr:rowOff>
    </xdr:from>
    <xdr:to>
      <xdr:col>26</xdr:col>
      <xdr:colOff>276225</xdr:colOff>
      <xdr:row>54</xdr:row>
      <xdr:rowOff>129182</xdr:rowOff>
    </xdr:to>
    <xdr:pic>
      <xdr:nvPicPr>
        <xdr:cNvPr id="8" name="Picture 7" descr="An Honest Conversation with an Axie Infinity Manager">
          <a:extLst>
            <a:ext uri="{FF2B5EF4-FFF2-40B4-BE49-F238E27FC236}">
              <a16:creationId xmlns:a16="http://schemas.microsoft.com/office/drawing/2014/main" id="{FA582DC7-5382-4F70-AA62-3EB0BA7D23F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248651" y="7410450"/>
          <a:ext cx="7172324" cy="4034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180975</xdr:colOff>
      <xdr:row>57</xdr:row>
      <xdr:rowOff>142876</xdr:rowOff>
    </xdr:from>
    <xdr:to>
      <xdr:col>30</xdr:col>
      <xdr:colOff>190499</xdr:colOff>
      <xdr:row>76</xdr:row>
      <xdr:rowOff>202972</xdr:rowOff>
    </xdr:to>
    <xdr:pic>
      <xdr:nvPicPr>
        <xdr:cNvPr id="9" name="Picture 8" descr="Axie Infinity – Collective Shift">
          <a:extLst>
            <a:ext uri="{FF2B5EF4-FFF2-40B4-BE49-F238E27FC236}">
              <a16:creationId xmlns:a16="http://schemas.microsoft.com/office/drawing/2014/main" id="{B679B3CE-EA38-45A4-BE51-382594E7866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39325" y="12087226"/>
          <a:ext cx="7934324" cy="4041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57</xdr:row>
      <xdr:rowOff>152400</xdr:rowOff>
    </xdr:from>
    <xdr:to>
      <xdr:col>13</xdr:col>
      <xdr:colOff>9122</xdr:colOff>
      <xdr:row>77</xdr:row>
      <xdr:rowOff>3048</xdr:rowOff>
    </xdr:to>
    <xdr:pic>
      <xdr:nvPicPr>
        <xdr:cNvPr id="16" name="Picture 15">
          <a:extLst>
            <a:ext uri="{FF2B5EF4-FFF2-40B4-BE49-F238E27FC236}">
              <a16:creationId xmlns:a16="http://schemas.microsoft.com/office/drawing/2014/main" id="{BB8713D5-C701-496E-9B18-B9196A982DB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6701" y="12096750"/>
          <a:ext cx="6962371" cy="40416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7</xdr:row>
      <xdr:rowOff>123825</xdr:rowOff>
    </xdr:from>
    <xdr:to>
      <xdr:col>14</xdr:col>
      <xdr:colOff>533400</xdr:colOff>
      <xdr:row>29</xdr:row>
      <xdr:rowOff>85725</xdr:rowOff>
    </xdr:to>
    <xdr:pic>
      <xdr:nvPicPr>
        <xdr:cNvPr id="17" name="Picture 16">
          <a:extLst>
            <a:ext uri="{FF2B5EF4-FFF2-40B4-BE49-F238E27FC236}">
              <a16:creationId xmlns:a16="http://schemas.microsoft.com/office/drawing/2014/main" id="{5193D416-AA3A-4BA6-85C6-4558BCFE4FD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8125" y="1590675"/>
          <a:ext cx="81248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28576</xdr:colOff>
      <xdr:row>1</xdr:row>
      <xdr:rowOff>9525</xdr:rowOff>
    </xdr:from>
    <xdr:to>
      <xdr:col>2</xdr:col>
      <xdr:colOff>444595</xdr:colOff>
      <xdr:row>4</xdr:row>
      <xdr:rowOff>171450</xdr:rowOff>
    </xdr:to>
    <xdr:pic>
      <xdr:nvPicPr>
        <xdr:cNvPr id="12" name="Picture 11">
          <a:extLst>
            <a:ext uri="{FF2B5EF4-FFF2-40B4-BE49-F238E27FC236}">
              <a16:creationId xmlns:a16="http://schemas.microsoft.com/office/drawing/2014/main" id="{3FC477E7-1B30-479D-9E4C-FCDDB6DDE9C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38126" y="219075"/>
          <a:ext cx="720819"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88</xdr:row>
      <xdr:rowOff>85725</xdr:rowOff>
    </xdr:from>
    <xdr:to>
      <xdr:col>14</xdr:col>
      <xdr:colOff>523875</xdr:colOff>
      <xdr:row>110</xdr:row>
      <xdr:rowOff>47625</xdr:rowOff>
    </xdr:to>
    <xdr:pic>
      <xdr:nvPicPr>
        <xdr:cNvPr id="13" name="Picture 12">
          <a:extLst>
            <a:ext uri="{FF2B5EF4-FFF2-40B4-BE49-F238E27FC236}">
              <a16:creationId xmlns:a16="http://schemas.microsoft.com/office/drawing/2014/main" id="{9AB39CE5-3014-4F8C-88A4-31990B554AC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8600" y="18526125"/>
          <a:ext cx="8124825"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402511</xdr:colOff>
      <xdr:row>62</xdr:row>
      <xdr:rowOff>38100</xdr:rowOff>
    </xdr:from>
    <xdr:to>
      <xdr:col>17</xdr:col>
      <xdr:colOff>369924</xdr:colOff>
      <xdr:row>72</xdr:row>
      <xdr:rowOff>19050</xdr:rowOff>
    </xdr:to>
    <xdr:pic>
      <xdr:nvPicPr>
        <xdr:cNvPr id="10" name="Picture 9" descr="What is Axie Infinity: How to play and make money on AXIE? - Phemex Academy">
          <a:extLst>
            <a:ext uri="{FF2B5EF4-FFF2-40B4-BE49-F238E27FC236}">
              <a16:creationId xmlns:a16="http://schemas.microsoft.com/office/drawing/2014/main" id="{FEAAADC7-ABAF-4452-8EEF-58B36D1DCDC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012861" y="13030200"/>
          <a:ext cx="3015413" cy="2076450"/>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476250</xdr:colOff>
      <xdr:row>116</xdr:row>
      <xdr:rowOff>95250</xdr:rowOff>
    </xdr:from>
    <xdr:to>
      <xdr:col>20</xdr:col>
      <xdr:colOff>573786</xdr:colOff>
      <xdr:row>133</xdr:row>
      <xdr:rowOff>16764</xdr:rowOff>
    </xdr:to>
    <xdr:pic>
      <xdr:nvPicPr>
        <xdr:cNvPr id="2" name="Picture 1">
          <a:extLst>
            <a:ext uri="{FF2B5EF4-FFF2-40B4-BE49-F238E27FC236}">
              <a16:creationId xmlns:a16="http://schemas.microsoft.com/office/drawing/2014/main" id="{C2E1242E-59FE-4A46-B178-D9007B8282E2}"/>
            </a:ext>
          </a:extLst>
        </xdr:cNvPr>
        <xdr:cNvPicPr>
          <a:picLocks noChangeAspect="1"/>
        </xdr:cNvPicPr>
      </xdr:nvPicPr>
      <xdr:blipFill>
        <a:blip xmlns:r="http://schemas.openxmlformats.org/officeDocument/2006/relationships" r:embed="rId10"/>
        <a:stretch>
          <a:fillRect/>
        </a:stretch>
      </xdr:blipFill>
      <xdr:spPr>
        <a:xfrm>
          <a:off x="5867400" y="24403050"/>
          <a:ext cx="6193536" cy="3483864"/>
        </a:xfrm>
        <a:prstGeom prst="rect">
          <a:avLst/>
        </a:prstGeom>
        <a:ln w="28575">
          <a:solidFill>
            <a:schemeClr val="bg1"/>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 Maravilla" refreshedDate="45292.980515393516" createdVersion="7" refreshedVersion="7" minRefreshableVersion="3" recordCount="50" xr:uid="{C58F6CEB-F469-4F98-9FCA-9D9DF4CD85DC}">
  <cacheSource type="worksheet">
    <worksheetSource name="Table7"/>
  </cacheSource>
  <cacheFields count="11">
    <cacheField name="user_number" numFmtId="166">
      <sharedItems containsString="0" containsBlank="1" containsNumber="1" containsInteger="1" minValue="1" maxValue="49"/>
    </cacheField>
    <cacheField name="in-game_name" numFmtId="0">
      <sharedItems containsBlank="1" count="50">
        <s v="Raze"/>
        <s v="Saksa"/>
        <s v="Timado"/>
        <s v="Tims"/>
        <s v="Sam"/>
        <s v="Mania"/>
        <s v="Hao"/>
        <s v="Fenrir"/>
        <s v="Borax"/>
        <s v="Allysa"/>
        <s v="Jogo"/>
        <s v="Tavo"/>
        <s v="Bulba"/>
        <s v="Arise"/>
        <s v="Mane"/>
        <s v="Canto"/>
        <s v="Wrath"/>
        <s v="Reinne"/>
        <s v="Tranquil"/>
        <s v="Obsi"/>
        <s v="Xin"/>
        <s v="Hammer"/>
        <s v="Pix"/>
        <s v="Bleak"/>
        <s v="Captn"/>
        <s v="Arth"/>
        <s v="Dott"/>
        <s v="Dond"/>
        <s v="Duck"/>
        <s v="Quelin"/>
        <s v="Toxi"/>
        <s v="Mik"/>
        <s v="Alpha"/>
        <s v="Yosh"/>
        <s v="Anons"/>
        <s v="Andreii"/>
        <s v="Carl"/>
        <s v="Kian"/>
        <s v="Haruhi"/>
        <s v="Ash"/>
        <s v="Suru"/>
        <s v="Lillo"/>
        <s v="Jgm"/>
        <s v="Oman"/>
        <s v="Uys"/>
        <s v="Smite"/>
        <s v="Fore"/>
        <s v="Vole"/>
        <s v="Dinn"/>
        <m/>
      </sharedItems>
    </cacheField>
    <cacheField name="lifetime_slp" numFmtId="0">
      <sharedItems containsString="0" containsBlank="1" containsNumber="1" containsInteger="1" minValue="77" maxValue="41835"/>
    </cacheField>
    <cacheField name="slp_last_payout" numFmtId="0">
      <sharedItems containsString="0" containsBlank="1" containsNumber="1" containsInteger="1" minValue="77" maxValue="4705"/>
    </cacheField>
    <cacheField name="last_payout" numFmtId="14">
      <sharedItems containsNonDate="0" containsDate="1" containsString="0" containsBlank="1" minDate="2021-08-18T00:00:00" maxDate="2022-02-02T00:00:00"/>
    </cacheField>
    <cacheField name="next_payout" numFmtId="14">
      <sharedItems containsNonDate="0" containsDate="1" containsString="0" containsBlank="1" minDate="2021-09-01T00:00:00" maxDate="2022-02-17T00:00:00" count="29">
        <d v="2022-01-28T00:00:00"/>
        <d v="2021-12-14T00:00:00"/>
        <d v="2021-12-13T00:00:00"/>
        <d v="2022-01-30T00:00:00"/>
        <d v="2021-09-26T00:00:00"/>
        <d v="2022-01-31T00:00:00"/>
        <d v="2021-12-29T00:00:00"/>
        <d v="2022-02-01T00:00:00"/>
        <d v="2022-02-03T00:00:00"/>
        <d v="2022-01-29T00:00:00"/>
        <d v="2022-02-02T00:00:00"/>
        <d v="2021-12-19T00:00:00"/>
        <d v="2021-09-12T00:00:00"/>
        <d v="2021-09-28T00:00:00"/>
        <d v="2022-01-04T00:00:00"/>
        <d v="2022-02-16T00:00:00"/>
        <d v="2022-01-03T00:00:00"/>
        <d v="2022-02-04T00:00:00"/>
        <d v="2022-02-15T00:00:00"/>
        <d v="2021-09-01T00:00:00"/>
        <d v="2022-02-14T00:00:00"/>
        <d v="2021-11-11T00:00:00"/>
        <d v="2022-02-13T00:00:00"/>
        <d v="2022-01-17T00:00:00"/>
        <d v="2021-11-29T00:00:00"/>
        <d v="2021-12-10T00:00:00"/>
        <d v="2021-12-21T00:00:00"/>
        <d v="2022-01-02T00:00:00"/>
        <m/>
      </sharedItems>
      <fieldGroup par="10" base="5">
        <rangePr groupBy="months" startDate="2021-09-01T00:00:00" endDate="2022-02-17T00:00:00"/>
        <groupItems count="14">
          <s v="(blank)"/>
          <s v="Jan"/>
          <s v="Feb"/>
          <s v="Mar"/>
          <s v="Apr"/>
          <s v="May"/>
          <s v="Jun"/>
          <s v="Jul"/>
          <s v="Aug"/>
          <s v="Sep"/>
          <s v="Oct"/>
          <s v="Nov"/>
          <s v="Dec"/>
          <s v="&gt;2/17/2022"/>
        </groupItems>
      </fieldGroup>
    </cacheField>
    <cacheField name="career_duration" numFmtId="2">
      <sharedItems containsString="0" containsBlank="1" containsNumber="1" containsInteger="1" minValue="0" maxValue="191"/>
    </cacheField>
    <cacheField name="lifetime_monthly_slp_average" numFmtId="167">
      <sharedItems containsString="0" containsBlank="1" containsNumber="1" minValue="77" maxValue="15417.75"/>
    </cacheField>
    <cacheField name="lifetime_daily_slp_average" numFmtId="167">
      <sharedItems containsString="0" containsBlank="1" containsNumber="1" minValue="5.5" maxValue="505.5"/>
    </cacheField>
    <cacheField name="Quarters" numFmtId="0" databaseField="0">
      <fieldGroup base="5">
        <rangePr groupBy="quarters" startDate="2021-09-01T00:00:00" endDate="2022-02-17T00:00:00"/>
        <groupItems count="6">
          <s v="&lt;9/1/2021"/>
          <s v="Qtr1"/>
          <s v="Qtr2"/>
          <s v="Qtr3"/>
          <s v="Qtr4"/>
          <s v="&gt;2/17/2022"/>
        </groupItems>
      </fieldGroup>
    </cacheField>
    <cacheField name="Years" numFmtId="0" databaseField="0">
      <fieldGroup base="5">
        <rangePr groupBy="years" startDate="2021-09-01T00:00:00" endDate="2022-02-17T00:00:00"/>
        <groupItems count="4">
          <s v="&lt;9/1/2021"/>
          <s v="2021"/>
          <s v="2022"/>
          <s v="&gt;2/17/2022"/>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 Maravilla" refreshedDate="45292.980515625" createdVersion="7" refreshedVersion="7" minRefreshableVersion="3" recordCount="300" xr:uid="{F303F9BC-6151-4173-BC0D-2072CD1C9724}">
  <cacheSource type="worksheet">
    <worksheetSource ref="A1:O301" sheet="Transactions"/>
  </cacheSource>
  <cacheFields count="19">
    <cacheField name="transaction_number" numFmtId="164">
      <sharedItems containsMixedTypes="1" containsNumber="1" containsInteger="1" minValue="1" maxValue="282"/>
    </cacheField>
    <cacheField name="ign" numFmtId="0">
      <sharedItems containsBlank="1" count="90">
        <s v="Raze"/>
        <s v="Timado"/>
        <s v="Alpha"/>
        <s v="Saksa"/>
        <s v="Borax"/>
        <s v="Canto"/>
        <s v="Arise"/>
        <s v="Suru"/>
        <s v="Dinn"/>
        <s v="Tranquil"/>
        <s v="Duck"/>
        <s v="Bleak"/>
        <s v="Quelin"/>
        <s v="Arth"/>
        <s v="Obsi"/>
        <s v="Wrath"/>
        <s v="Reinne"/>
        <s v="Sam"/>
        <s v="Fenrir"/>
        <s v="Haruhi"/>
        <s v="Hao"/>
        <s v="Carl"/>
        <s v="Anons"/>
        <s v="Kian"/>
        <s v="Lillo"/>
        <s v="Dond"/>
        <s v="Hammer"/>
        <s v="Fore"/>
        <s v="Uys"/>
        <s v="Andreii"/>
        <s v="Jgm"/>
        <s v="Bulba"/>
        <s v="Oman"/>
        <s v="Ash"/>
        <s v="Xin"/>
        <s v="Smite"/>
        <s v="Dott"/>
        <s v="Captn"/>
        <s v="Allysa"/>
        <s v="Mane"/>
        <s v="Mik"/>
        <s v="Tims"/>
        <s v="Tavo"/>
        <s v="Toxi"/>
        <s v="Mania"/>
        <s v="Yosh"/>
        <s v="Jogo"/>
        <s v="Pix"/>
        <s v="Vole"/>
        <m/>
        <s v="Phia" u="1"/>
        <s v="Jashen" u="1"/>
        <s v="Rex" u="1"/>
        <s v="Iber" u="1"/>
        <s v="Jaiden" u="1"/>
        <s v="Lan" u="1"/>
        <s v="Commander" u="1"/>
        <s v="Hoyuki" u="1"/>
        <s v="Mayaaa" u="1"/>
        <s v="Adrian" u="1"/>
        <s v="Joshua" u="1"/>
        <s v="Mario" u="1"/>
        <s v="Kulot" u="1"/>
        <s v="Nilo" u="1"/>
        <s v="Arlene" u="1"/>
        <s v="Nican" u="1"/>
        <s v="Chillis" u="1"/>
        <s v="Mart" u="1"/>
        <s v="Ato" u="1"/>
        <s v="Matt" u="1"/>
        <s v="Erika" u="1"/>
        <s v="Michael" u="1"/>
        <s v="Jay" u="1"/>
        <s v="Dandiee" u="1"/>
        <s v="Nikka" u="1"/>
        <s v="Khim" u="1"/>
        <s v="Meander" u="1"/>
        <s v="Emoe" u="1"/>
        <s v="Juan" u="1"/>
        <s v="Kiddo" u="1"/>
        <s v="Greyrat" u="1"/>
        <s v="Julou" u="1"/>
        <s v="Marian" u="1"/>
        <s v="Eurekaa" u="1"/>
        <s v="Kevin" u="1"/>
        <s v="Lhien" u="1"/>
        <s v="Kim" u="1"/>
        <s v="Reaze" u="1"/>
        <s v="Siera" u="1"/>
        <s v="Ana" u="1"/>
      </sharedItems>
    </cacheField>
    <cacheField name="user_number" numFmtId="166">
      <sharedItems containsSemiMixedTypes="0" containsString="0" containsNumber="1" containsInteger="1" minValue="0" maxValue="49"/>
    </cacheField>
    <cacheField name="date" numFmtId="14">
      <sharedItems containsNonDate="0" containsDate="1" containsString="0" containsBlank="1" minDate="2021-07-07T00:00:00" maxDate="2022-02-02T00:00:00" count="94">
        <d v="2021-07-07T00:00:00"/>
        <d v="2021-07-12T00:00:00"/>
        <d v="2021-07-14T00:00:00"/>
        <d v="2021-07-17T00:00:00"/>
        <d v="2021-07-22T00:00:00"/>
        <d v="2021-07-24T00:00:00"/>
        <d v="2021-07-25T00:00:00"/>
        <d v="2021-07-30T00:00:00"/>
        <d v="2021-07-31T00:00:00"/>
        <d v="2021-08-03T00:00:00"/>
        <d v="2021-08-05T00:00:00"/>
        <d v="2021-08-07T00:00:00"/>
        <d v="2021-08-09T00:00:00"/>
        <d v="2021-08-12T00:00:00"/>
        <d v="2021-08-13T00:00:00"/>
        <d v="2021-08-14T00:00:00"/>
        <d v="2021-08-15T00:00:00"/>
        <d v="2021-08-18T00:00:00"/>
        <d v="2021-08-20T00:00:00"/>
        <d v="2021-08-23T00:00:00"/>
        <d v="2021-08-27T00:00:00"/>
        <d v="2021-08-28T00:00:00"/>
        <d v="2021-08-29T00:00:00"/>
        <d v="2021-08-30T00:00:00"/>
        <d v="2021-08-31T00:00:00"/>
        <d v="2021-09-02T00:00:00"/>
        <d v="2021-09-03T00:00:00"/>
        <d v="2021-09-06T00:00:00"/>
        <d v="2021-09-07T00:00:00"/>
        <d v="2021-09-08T00:00:00"/>
        <d v="2021-10-01T00:00:00"/>
        <d v="2021-10-03T00:00:00"/>
        <d v="2021-10-05T00:00:00"/>
        <d v="2021-10-06T00:00:00"/>
        <d v="2021-10-10T00:00:00"/>
        <d v="2021-10-12T00:00:00"/>
        <d v="2021-10-14T00:00:00"/>
        <d v="2021-10-15T00:00:00"/>
        <d v="2021-10-16T00:00:00"/>
        <d v="2021-10-17T00:00:00"/>
        <d v="2021-10-20T00:00:00"/>
        <d v="2021-10-24T00:00:00"/>
        <d v="2021-10-25T00:00:00"/>
        <d v="2021-10-28T00:00:00"/>
        <d v="2021-10-31T00:00:00"/>
        <d v="2021-11-02T00:00:00"/>
        <d v="2021-11-03T00:00:00"/>
        <d v="2021-11-07T00:00:00"/>
        <d v="2021-11-11T00:00:00"/>
        <d v="2021-11-12T00:00:00"/>
        <d v="2021-11-13T00:00:00"/>
        <d v="2021-11-14T00:00:00"/>
        <d v="2021-11-15T00:00:00"/>
        <d v="2021-11-29T00:00:00"/>
        <d v="2021-11-16T00:00:00"/>
        <d v="2021-11-17T00:00:00"/>
        <d v="2021-11-18T00:00:00"/>
        <d v="2021-11-19T00:00:00"/>
        <d v="2021-11-20T00:00:00"/>
        <d v="2021-11-21T00:00:00"/>
        <d v="2021-11-24T00:00:00"/>
        <d v="2021-11-25T00:00:00"/>
        <d v="2021-11-26T00:00:00"/>
        <d v="2021-11-27T00:00:00"/>
        <d v="2021-11-30T00:00:00"/>
        <d v="2021-12-01T00:00:00"/>
        <d v="2021-12-02T00:00:00"/>
        <d v="2021-12-04T00:00:00"/>
        <d v="2021-12-05T00:00:00"/>
        <d v="2021-12-06T00:00:00"/>
        <d v="2021-12-10T00:00:00"/>
        <d v="2021-12-13T00:00:00"/>
        <d v="2021-12-15T00:00:00"/>
        <d v="2021-12-17T00:00:00"/>
        <d v="2021-12-18T00:00:00"/>
        <d v="2021-12-19T00:00:00"/>
        <d v="2021-12-20T00:00:00"/>
        <d v="2021-12-21T00:00:00"/>
        <d v="2021-12-23T00:00:00"/>
        <d v="2022-01-01T00:00:00"/>
        <d v="2022-01-02T00:00:00"/>
        <d v="2022-01-03T00:00:00"/>
        <d v="2022-01-04T00:00:00"/>
        <d v="2022-01-08T00:00:00"/>
        <d v="2022-01-09T00:00:00"/>
        <d v="2022-01-13T00:00:00"/>
        <d v="2022-01-14T00:00:00"/>
        <d v="2022-01-15T00:00:00"/>
        <d v="2022-01-16T00:00:00"/>
        <d v="2022-01-17T00:00:00"/>
        <d v="2022-01-18T00:00:00"/>
        <d v="2022-01-21T00:00:00"/>
        <d v="2022-02-01T00:00:00"/>
        <m/>
      </sharedItems>
      <fieldGroup par="18" base="3">
        <rangePr groupBy="months" startDate="2021-07-07T00:00:00" endDate="2022-02-02T00:00:00"/>
        <groupItems count="14">
          <s v="(blank)"/>
          <s v="Jan"/>
          <s v="Feb"/>
          <s v="Mar"/>
          <s v="Apr"/>
          <s v="May"/>
          <s v="Jun"/>
          <s v="Jul"/>
          <s v="Aug"/>
          <s v="Sep"/>
          <s v="Oct"/>
          <s v="Nov"/>
          <s v="Dec"/>
          <s v="&gt;2/2/2022"/>
        </groupItems>
      </fieldGroup>
    </cacheField>
    <cacheField name="slp_farmed" numFmtId="0">
      <sharedItems containsString="0" containsBlank="1" containsNumber="1" containsInteger="1" minValue="9" maxValue="7039"/>
    </cacheField>
    <cacheField name="slp_price" numFmtId="172">
      <sharedItems containsString="0" containsBlank="1" containsNumber="1" minValue="0.5" maxValue="16.3"/>
    </cacheField>
    <cacheField name="outsource_take" numFmtId="0">
      <sharedItems containsString="0" containsBlank="1" containsNumber="1" minValue="0" maxValue="0.7"/>
    </cacheField>
    <cacheField name="user_take" numFmtId="0">
      <sharedItems containsString="0" containsBlank="1" containsNumber="1" minValue="0.15579999999999999" maxValue="1"/>
    </cacheField>
    <cacheField name="manager_take" numFmtId="0">
      <sharedItems containsString="0" containsBlank="1" containsNumber="1" minValue="0" maxValue="0.83170999999999995"/>
    </cacheField>
    <cacheField name="outsource_slp" numFmtId="1">
      <sharedItems containsSemiMixedTypes="0" containsString="0" containsNumber="1" minValue="0" maxValue="1279.8500000000001"/>
    </cacheField>
    <cacheField name="user_slp" numFmtId="1">
      <sharedItems containsSemiMixedTypes="0" containsString="0" containsNumber="1" minValue="0" maxValue="6328"/>
    </cacheField>
    <cacheField name="manager_slp" numFmtId="1">
      <sharedItems containsSemiMixedTypes="0" containsString="0" containsNumber="1" minValue="0" maxValue="2842"/>
    </cacheField>
    <cacheField name="outsource_php" numFmtId="172">
      <sharedItems containsSemiMixedTypes="0" containsString="0" containsNumber="1" minValue="0" maxValue="9484"/>
    </cacheField>
    <cacheField name="user_php" numFmtId="172">
      <sharedItems containsSemiMixedTypes="0" containsString="0" containsNumber="1" minValue="0" maxValue="26707.550000000003"/>
    </cacheField>
    <cacheField name="manager_php" numFmtId="172">
      <sharedItems containsSemiMixedTypes="0" containsString="0" containsNumber="1" minValue="0" maxValue="26707.550000000003"/>
    </cacheField>
    <cacheField name="Total SLP Farmed" numFmtId="0" formula="SUM(slp_farmed)" databaseField="0"/>
    <cacheField name="Field1" numFmtId="0" formula="slp_farmed" databaseField="0"/>
    <cacheField name="Quarters" numFmtId="0" databaseField="0">
      <fieldGroup base="3">
        <rangePr groupBy="quarters" startDate="2021-07-07T00:00:00" endDate="2022-02-02T00:00:00"/>
        <groupItems count="6">
          <s v="&lt;7/7/2021"/>
          <s v="Qtr1"/>
          <s v="Qtr2"/>
          <s v="Qtr3"/>
          <s v="Qtr4"/>
          <s v="&gt;2/2/2022"/>
        </groupItems>
      </fieldGroup>
    </cacheField>
    <cacheField name="Years" numFmtId="0" databaseField="0">
      <fieldGroup base="3">
        <rangePr groupBy="years" startDate="2021-07-07T00:00:00" endDate="2022-02-02T00:00:00"/>
        <groupItems count="4">
          <s v="&lt;7/7/2021"/>
          <s v="2021"/>
          <s v="2022"/>
          <s v="&gt;2/2/2022"/>
        </groupItems>
      </fieldGroup>
    </cacheField>
  </cacheFields>
  <extLst>
    <ext xmlns:x14="http://schemas.microsoft.com/office/spreadsheetml/2009/9/main" uri="{725AE2AE-9491-48be-B2B4-4EB974FC3084}">
      <x14:pivotCacheDefinition pivotCacheId="50893196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c Maravilla" refreshedDate="45292.980516087962" createdVersion="7" refreshedVersion="7" minRefreshableVersion="3" recordCount="300" xr:uid="{6B67D8DB-8C9C-4A7B-936F-C691C54DC959}">
  <cacheSource type="worksheet">
    <worksheetSource name="Table8"/>
  </cacheSource>
  <cacheFields count="18">
    <cacheField name="transaction_number" numFmtId="164">
      <sharedItems containsMixedTypes="1" containsNumber="1" containsInteger="1" minValue="1" maxValue="282"/>
    </cacheField>
    <cacheField name="ign" numFmtId="0">
      <sharedItems containsBlank="1" count="53">
        <s v="Raze"/>
        <s v="Timado"/>
        <s v="Alpha"/>
        <s v="Saksa"/>
        <s v="Borax"/>
        <s v="Canto"/>
        <s v="Arise"/>
        <s v="Suru"/>
        <s v="Dinn"/>
        <s v="Tranquil"/>
        <s v="Duck"/>
        <s v="Bleak"/>
        <s v="Quelin"/>
        <s v="Arth"/>
        <s v="Obsi"/>
        <s v="Wrath"/>
        <s v="Reinne"/>
        <s v="Sam"/>
        <s v="Fenrir"/>
        <s v="Haruhi"/>
        <s v="Hao"/>
        <s v="Carl"/>
        <s v="Anons"/>
        <s v="Kian"/>
        <s v="Lillo"/>
        <s v="Dond"/>
        <s v="Hammer"/>
        <s v="Fore"/>
        <s v="Uys"/>
        <s v="Andreii"/>
        <s v="Jgm"/>
        <s v="Bulba"/>
        <s v="Oman"/>
        <s v="Ash"/>
        <s v="Xin"/>
        <s v="Smite"/>
        <s v="Dott"/>
        <s v="Captn"/>
        <s v="Allysa"/>
        <s v="Mane"/>
        <s v="Mik"/>
        <s v="Tims"/>
        <s v="Tavo"/>
        <s v="Toxi"/>
        <s v="Mania"/>
        <s v="Yosh"/>
        <s v="Jogo"/>
        <s v="Pix"/>
        <s v="Vole"/>
        <m/>
        <s v="Commander" u="1"/>
        <s v="Meander" u="1"/>
        <s v="Reaze" u="1"/>
      </sharedItems>
    </cacheField>
    <cacheField name="user_number" numFmtId="166">
      <sharedItems containsSemiMixedTypes="0" containsString="0" containsNumber="1" containsInteger="1" minValue="0" maxValue="49" count="50">
        <n v="1"/>
        <n v="3"/>
        <n v="33"/>
        <n v="2"/>
        <n v="9"/>
        <n v="16"/>
        <n v="14"/>
        <n v="41"/>
        <n v="49"/>
        <n v="19"/>
        <n v="29"/>
        <n v="24"/>
        <n v="30"/>
        <n v="26"/>
        <n v="20"/>
        <n v="17"/>
        <n v="18"/>
        <n v="5"/>
        <n v="8"/>
        <n v="39"/>
        <n v="7"/>
        <n v="37"/>
        <n v="35"/>
        <n v="38"/>
        <n v="42"/>
        <n v="28"/>
        <n v="22"/>
        <n v="47"/>
        <n v="45"/>
        <n v="36"/>
        <n v="43"/>
        <n v="13"/>
        <n v="44"/>
        <n v="40"/>
        <n v="21"/>
        <n v="46"/>
        <n v="27"/>
        <n v="25"/>
        <n v="10"/>
        <n v="15"/>
        <n v="32"/>
        <n v="4"/>
        <n v="12"/>
        <n v="31"/>
        <n v="6"/>
        <n v="34"/>
        <n v="11"/>
        <n v="23"/>
        <n v="48"/>
        <n v="0"/>
      </sharedItems>
    </cacheField>
    <cacheField name="date" numFmtId="14">
      <sharedItems containsNonDate="0" containsDate="1" containsString="0" containsBlank="1" minDate="2021-07-07T00:00:00" maxDate="2022-02-02T00:00:00" count="94">
        <d v="2021-07-07T00:00:00"/>
        <d v="2021-07-12T00:00:00"/>
        <d v="2021-07-14T00:00:00"/>
        <d v="2021-07-17T00:00:00"/>
        <d v="2021-07-22T00:00:00"/>
        <d v="2021-07-24T00:00:00"/>
        <d v="2021-07-25T00:00:00"/>
        <d v="2021-07-30T00:00:00"/>
        <d v="2021-07-31T00:00:00"/>
        <d v="2021-08-03T00:00:00"/>
        <d v="2021-08-05T00:00:00"/>
        <d v="2021-08-07T00:00:00"/>
        <d v="2021-08-09T00:00:00"/>
        <d v="2021-08-12T00:00:00"/>
        <d v="2021-08-13T00:00:00"/>
        <d v="2021-08-14T00:00:00"/>
        <d v="2021-08-15T00:00:00"/>
        <d v="2021-08-18T00:00:00"/>
        <d v="2021-08-20T00:00:00"/>
        <d v="2021-08-23T00:00:00"/>
        <d v="2021-08-27T00:00:00"/>
        <d v="2021-08-28T00:00:00"/>
        <d v="2021-08-29T00:00:00"/>
        <d v="2021-08-30T00:00:00"/>
        <d v="2021-08-31T00:00:00"/>
        <d v="2021-09-02T00:00:00"/>
        <d v="2021-09-03T00:00:00"/>
        <d v="2021-09-06T00:00:00"/>
        <d v="2021-09-07T00:00:00"/>
        <d v="2021-09-08T00:00:00"/>
        <d v="2021-10-01T00:00:00"/>
        <d v="2021-10-03T00:00:00"/>
        <d v="2021-10-05T00:00:00"/>
        <d v="2021-10-06T00:00:00"/>
        <d v="2021-10-10T00:00:00"/>
        <d v="2021-10-12T00:00:00"/>
        <d v="2021-10-14T00:00:00"/>
        <d v="2021-10-15T00:00:00"/>
        <d v="2021-10-16T00:00:00"/>
        <d v="2021-10-17T00:00:00"/>
        <d v="2021-10-20T00:00:00"/>
        <d v="2021-10-24T00:00:00"/>
        <d v="2021-10-25T00:00:00"/>
        <d v="2021-10-28T00:00:00"/>
        <d v="2021-10-31T00:00:00"/>
        <d v="2021-11-02T00:00:00"/>
        <d v="2021-11-03T00:00:00"/>
        <d v="2021-11-07T00:00:00"/>
        <d v="2021-11-11T00:00:00"/>
        <d v="2021-11-12T00:00:00"/>
        <d v="2021-11-13T00:00:00"/>
        <d v="2021-11-14T00:00:00"/>
        <d v="2021-11-15T00:00:00"/>
        <d v="2021-11-29T00:00:00"/>
        <d v="2021-11-16T00:00:00"/>
        <d v="2021-11-17T00:00:00"/>
        <d v="2021-11-18T00:00:00"/>
        <d v="2021-11-19T00:00:00"/>
        <d v="2021-11-20T00:00:00"/>
        <d v="2021-11-21T00:00:00"/>
        <d v="2021-11-24T00:00:00"/>
        <d v="2021-11-25T00:00:00"/>
        <d v="2021-11-26T00:00:00"/>
        <d v="2021-11-27T00:00:00"/>
        <d v="2021-11-30T00:00:00"/>
        <d v="2021-12-01T00:00:00"/>
        <d v="2021-12-02T00:00:00"/>
        <d v="2021-12-04T00:00:00"/>
        <d v="2021-12-05T00:00:00"/>
        <d v="2021-12-06T00:00:00"/>
        <d v="2021-12-10T00:00:00"/>
        <d v="2021-12-13T00:00:00"/>
        <d v="2021-12-15T00:00:00"/>
        <d v="2021-12-17T00:00:00"/>
        <d v="2021-12-18T00:00:00"/>
        <d v="2021-12-19T00:00:00"/>
        <d v="2021-12-20T00:00:00"/>
        <d v="2021-12-21T00:00:00"/>
        <d v="2021-12-23T00:00:00"/>
        <d v="2022-01-01T00:00:00"/>
        <d v="2022-01-02T00:00:00"/>
        <d v="2022-01-03T00:00:00"/>
        <d v="2022-01-04T00:00:00"/>
        <d v="2022-01-08T00:00:00"/>
        <d v="2022-01-09T00:00:00"/>
        <d v="2022-01-13T00:00:00"/>
        <d v="2022-01-14T00:00:00"/>
        <d v="2022-01-15T00:00:00"/>
        <d v="2022-01-16T00:00:00"/>
        <d v="2022-01-17T00:00:00"/>
        <d v="2022-01-18T00:00:00"/>
        <d v="2022-01-21T00:00:00"/>
        <d v="2022-02-01T00:00:00"/>
        <m/>
      </sharedItems>
      <fieldGroup par="16" base="3">
        <rangePr groupBy="months" startDate="2021-07-07T00:00:00" endDate="2022-02-02T00:00:00"/>
        <groupItems count="14">
          <s v="(blank)"/>
          <s v="Jan"/>
          <s v="Feb"/>
          <s v="Mar"/>
          <s v="Apr"/>
          <s v="May"/>
          <s v="Jun"/>
          <s v="Jul"/>
          <s v="Aug"/>
          <s v="Sep"/>
          <s v="Oct"/>
          <s v="Nov"/>
          <s v="Dec"/>
          <s v="&gt;2/2/2022"/>
        </groupItems>
      </fieldGroup>
    </cacheField>
    <cacheField name="slp_farmed" numFmtId="0">
      <sharedItems containsString="0" containsBlank="1" containsNumber="1" containsInteger="1" minValue="9" maxValue="7039"/>
    </cacheField>
    <cacheField name="slp_price" numFmtId="172">
      <sharedItems containsString="0" containsBlank="1" containsNumber="1" minValue="0.5" maxValue="16.3"/>
    </cacheField>
    <cacheField name="outsource_take" numFmtId="0">
      <sharedItems containsString="0" containsBlank="1" containsNumber="1" minValue="0" maxValue="0.7"/>
    </cacheField>
    <cacheField name="user_take" numFmtId="0">
      <sharedItems containsString="0" containsBlank="1" containsNumber="1" minValue="0.15579999999999999" maxValue="1"/>
    </cacheField>
    <cacheField name="manager_take" numFmtId="0">
      <sharedItems containsString="0" containsBlank="1" containsNumber="1" minValue="0" maxValue="0.83170999999999995"/>
    </cacheField>
    <cacheField name="outsource_slp" numFmtId="1">
      <sharedItems containsSemiMixedTypes="0" containsString="0" containsNumber="1" minValue="0" maxValue="1279.8500000000001"/>
    </cacheField>
    <cacheField name="user_slp" numFmtId="1">
      <sharedItems containsSemiMixedTypes="0" containsString="0" containsNumber="1" minValue="0" maxValue="6328"/>
    </cacheField>
    <cacheField name="manager_slp" numFmtId="1">
      <sharedItems containsSemiMixedTypes="0" containsString="0" containsNumber="1" minValue="0" maxValue="2842"/>
    </cacheField>
    <cacheField name="outsource_php" numFmtId="172">
      <sharedItems containsSemiMixedTypes="0" containsString="0" containsNumber="1" minValue="0" maxValue="9484"/>
    </cacheField>
    <cacheField name="user_php" numFmtId="172">
      <sharedItems containsSemiMixedTypes="0" containsString="0" containsNumber="1" minValue="0" maxValue="26707.550000000003"/>
    </cacheField>
    <cacheField name="manager_php" numFmtId="172">
      <sharedItems containsSemiMixedTypes="0" containsString="0" containsNumber="1" minValue="0" maxValue="26707.550000000003"/>
    </cacheField>
    <cacheField name="Quarters" numFmtId="0" databaseField="0">
      <fieldGroup base="3">
        <rangePr groupBy="quarters" startDate="2021-07-07T00:00:00" endDate="2022-02-02T00:00:00"/>
        <groupItems count="6">
          <s v="&lt;7/7/2021"/>
          <s v="Qtr1"/>
          <s v="Qtr2"/>
          <s v="Qtr3"/>
          <s v="Qtr4"/>
          <s v="&gt;2/2/2022"/>
        </groupItems>
      </fieldGroup>
    </cacheField>
    <cacheField name="Years" numFmtId="0" databaseField="0">
      <fieldGroup base="3">
        <rangePr groupBy="years" startDate="2021-07-07T00:00:00" endDate="2022-02-02T00:00:00"/>
        <groupItems count="4">
          <s v="&lt;7/7/2021"/>
          <s v="2021"/>
          <s v="2022"/>
          <s v="&gt;2/2/2022"/>
        </groupItems>
      </fieldGroup>
    </cacheField>
    <cacheField name="Field1" numFmtId="0" formula="dat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n v="1"/>
    <x v="0"/>
    <n v="41835"/>
    <n v="4705"/>
    <d v="2022-01-14T00:00:00"/>
    <x v="0"/>
    <n v="191"/>
    <n v="6680.4581151832454"/>
    <n v="219.03141361256544"/>
  </r>
  <r>
    <n v="2"/>
    <x v="1"/>
    <n v="22323"/>
    <n v="3605"/>
    <d v="2021-11-30T00:00:00"/>
    <x v="1"/>
    <n v="139"/>
    <n v="4898.2122302158268"/>
    <n v="160.59712230215828"/>
  </r>
  <r>
    <n v="3"/>
    <x v="2"/>
    <n v="27974"/>
    <n v="3414"/>
    <d v="2021-11-29T00:00:00"/>
    <x v="2"/>
    <n v="145"/>
    <n v="5884.1862068965511"/>
    <n v="192.92413793103449"/>
  </r>
  <r>
    <n v="4"/>
    <x v="3"/>
    <n v="1342"/>
    <n v="1195"/>
    <d v="2022-01-16T00:00:00"/>
    <x v="3"/>
    <n v="13"/>
    <n v="3148.5384615384619"/>
    <n v="103.23076923076923"/>
  </r>
  <r>
    <n v="5"/>
    <x v="4"/>
    <n v="972"/>
    <n v="384"/>
    <d v="2021-08-27T00:00:00"/>
    <x v="4"/>
    <n v="4"/>
    <n v="7411.5"/>
    <n v="243"/>
  </r>
  <r>
    <n v="6"/>
    <x v="5"/>
    <n v="601"/>
    <n v="601"/>
    <d v="2022-01-13T00:00:00"/>
    <x v="5"/>
    <n v="0"/>
    <n v="601"/>
    <n v="42.928571428571431"/>
  </r>
  <r>
    <n v="7"/>
    <x v="6"/>
    <n v="16475"/>
    <n v="2192"/>
    <d v="2021-12-15T00:00:00"/>
    <x v="6"/>
    <n v="106"/>
    <n v="4740.4481132075471"/>
    <n v="155.4245283018868"/>
  </r>
  <r>
    <n v="8"/>
    <x v="7"/>
    <n v="23710"/>
    <n v="2150"/>
    <d v="2022-01-18T00:00:00"/>
    <x v="7"/>
    <n v="143"/>
    <n v="5057.0279720279714"/>
    <n v="165.80419580419581"/>
  </r>
  <r>
    <n v="9"/>
    <x v="8"/>
    <n v="28990"/>
    <n v="765"/>
    <d v="2022-01-17T00:00:00"/>
    <x v="5"/>
    <n v="184"/>
    <n v="4805.4076086956529"/>
    <n v="157.55434782608697"/>
  </r>
  <r>
    <n v="10"/>
    <x v="9"/>
    <n v="2713"/>
    <n v="1737"/>
    <d v="2022-01-14T00:00:00"/>
    <x v="0"/>
    <n v="11"/>
    <n v="7522.409090909091"/>
    <n v="246.63636363636363"/>
  </r>
  <r>
    <n v="11"/>
    <x v="10"/>
    <n v="477"/>
    <n v="477"/>
    <d v="2022-01-16T00:00:00"/>
    <x v="3"/>
    <n v="0"/>
    <n v="477"/>
    <n v="34.071428571428569"/>
  </r>
  <r>
    <n v="12"/>
    <x v="11"/>
    <n v="2713"/>
    <n v="1969"/>
    <d v="2022-01-16T00:00:00"/>
    <x v="3"/>
    <n v="13"/>
    <n v="6365.1153846153848"/>
    <n v="208.69230769230768"/>
  </r>
  <r>
    <n v="13"/>
    <x v="12"/>
    <n v="5119"/>
    <n v="2042"/>
    <d v="2022-01-16T00:00:00"/>
    <x v="3"/>
    <n v="66"/>
    <n v="2365.5984848484845"/>
    <n v="77.560606060606062"/>
  </r>
  <r>
    <n v="14"/>
    <x v="13"/>
    <n v="24749"/>
    <n v="4184"/>
    <d v="2022-01-04T00:00:00"/>
    <x v="8"/>
    <n v="163"/>
    <n v="4630.9478527607362"/>
    <n v="151.83435582822085"/>
  </r>
  <r>
    <n v="15"/>
    <x v="14"/>
    <n v="2141"/>
    <n v="1172"/>
    <d v="2022-01-15T00:00:00"/>
    <x v="9"/>
    <n v="12"/>
    <n v="5441.708333333333"/>
    <n v="178.41666666666666"/>
  </r>
  <r>
    <n v="16"/>
    <x v="15"/>
    <n v="32693"/>
    <n v="2755"/>
    <d v="2022-01-03T00:00:00"/>
    <x v="10"/>
    <n v="162"/>
    <n v="6155.1635802469136"/>
    <n v="201.80864197530863"/>
  </r>
  <r>
    <n v="17"/>
    <x v="16"/>
    <n v="19259"/>
    <n v="2001"/>
    <d v="2021-12-05T00:00:00"/>
    <x v="11"/>
    <n v="112"/>
    <n v="5244.6383928571431"/>
    <n v="171.95535714285714"/>
  </r>
  <r>
    <n v="18"/>
    <x v="17"/>
    <n v="4487"/>
    <n v="1219"/>
    <d v="2021-08-29T00:00:00"/>
    <x v="12"/>
    <n v="14"/>
    <n v="9775.25"/>
    <n v="320.5"/>
  </r>
  <r>
    <n v="19"/>
    <x v="18"/>
    <n v="5492"/>
    <n v="1278"/>
    <d v="2021-08-29T00:00:00"/>
    <x v="12"/>
    <n v="29"/>
    <n v="5776.0689655172418"/>
    <n v="189.37931034482759"/>
  </r>
  <r>
    <n v="20"/>
    <x v="19"/>
    <n v="6040"/>
    <n v="2219"/>
    <d v="2021-08-29T00:00:00"/>
    <x v="13"/>
    <n v="14"/>
    <n v="13158.571428571428"/>
    <n v="431.42857142857144"/>
  </r>
  <r>
    <n v="21"/>
    <x v="20"/>
    <n v="835"/>
    <n v="835"/>
    <d v="2021-12-05T00:00:00"/>
    <x v="11"/>
    <n v="0"/>
    <n v="835"/>
    <n v="59.642857142857146"/>
  </r>
  <r>
    <n v="22"/>
    <x v="21"/>
    <n v="16469"/>
    <n v="1893"/>
    <d v="2022-01-15T00:00:00"/>
    <x v="9"/>
    <n v="97"/>
    <n v="5178.3969072164946"/>
    <n v="169.78350515463919"/>
  </r>
  <r>
    <n v="23"/>
    <x v="22"/>
    <n v="141"/>
    <n v="141"/>
    <d v="2022-01-17T00:00:00"/>
    <x v="5"/>
    <n v="0"/>
    <n v="141"/>
    <n v="10.071428571428571"/>
  </r>
  <r>
    <n v="24"/>
    <x v="23"/>
    <n v="11925"/>
    <n v="1505"/>
    <d v="2021-12-05T00:00:00"/>
    <x v="14"/>
    <n v="113"/>
    <n v="3218.6946902654868"/>
    <n v="105.53097345132744"/>
  </r>
  <r>
    <n v="25"/>
    <x v="24"/>
    <n v="2923"/>
    <n v="1489"/>
    <d v="2022-01-17T00:00:00"/>
    <x v="15"/>
    <n v="16"/>
    <n v="5571.96875"/>
    <n v="182.6875"/>
  </r>
  <r>
    <n v="26"/>
    <x v="25"/>
    <n v="25923"/>
    <n v="1526"/>
    <d v="2021-12-20T00:00:00"/>
    <x v="16"/>
    <n v="127"/>
    <n v="6225.6023622047251"/>
    <n v="204.11811023622047"/>
  </r>
  <r>
    <n v="27"/>
    <x v="26"/>
    <n v="2935"/>
    <n v="2696"/>
    <d v="2022-01-21T00:00:00"/>
    <x v="17"/>
    <n v="29"/>
    <n v="3086.8103448275865"/>
    <n v="101.20689655172414"/>
  </r>
  <r>
    <n v="28"/>
    <x v="27"/>
    <n v="21704"/>
    <n v="2099"/>
    <d v="2022-02-01T00:00:00"/>
    <x v="18"/>
    <n v="118"/>
    <n v="5609.9322033898306"/>
    <n v="183.93220338983051"/>
  </r>
  <r>
    <n v="29"/>
    <x v="28"/>
    <n v="3033"/>
    <n v="2213"/>
    <d v="2021-08-18T00:00:00"/>
    <x v="19"/>
    <n v="6"/>
    <n v="15417.75"/>
    <n v="505.5"/>
  </r>
  <r>
    <n v="30"/>
    <x v="29"/>
    <n v="28685"/>
    <n v="563"/>
    <d v="2022-01-15T00:00:00"/>
    <x v="9"/>
    <n v="153"/>
    <n v="5718.251633986928"/>
    <n v="187.48366013071896"/>
  </r>
  <r>
    <n v="31"/>
    <x v="30"/>
    <n v="2146"/>
    <n v="1244"/>
    <d v="2022-01-18T00:00:00"/>
    <x v="7"/>
    <n v="14"/>
    <n v="4675.2142857142853"/>
    <n v="153.28571428571428"/>
  </r>
  <r>
    <n v="32"/>
    <x v="31"/>
    <n v="2508"/>
    <n v="1242"/>
    <d v="2022-01-15T00:00:00"/>
    <x v="9"/>
    <n v="12"/>
    <n v="6374.5"/>
    <n v="209"/>
  </r>
  <r>
    <n v="33"/>
    <x v="32"/>
    <n v="26977"/>
    <n v="1258"/>
    <d v="2022-01-15T00:00:00"/>
    <x v="9"/>
    <n v="187"/>
    <n v="4399.9919786096252"/>
    <n v="144.26203208556149"/>
  </r>
  <r>
    <n v="34"/>
    <x v="33"/>
    <n v="77"/>
    <n v="77"/>
    <d v="2022-01-13T00:00:00"/>
    <x v="5"/>
    <n v="0"/>
    <n v="77"/>
    <n v="5.5"/>
  </r>
  <r>
    <n v="35"/>
    <x v="34"/>
    <n v="12760"/>
    <n v="1584"/>
    <d v="2022-01-15T00:00:00"/>
    <x v="20"/>
    <n v="106"/>
    <n v="3671.5094339622642"/>
    <n v="120.37735849056604"/>
  </r>
  <r>
    <n v="36"/>
    <x v="35"/>
    <n v="750"/>
    <n v="750"/>
    <d v="2021-10-12T00:00:00"/>
    <x v="21"/>
    <n v="0"/>
    <n v="750"/>
    <n v="53.571428571428569"/>
  </r>
  <r>
    <n v="37"/>
    <x v="36"/>
    <n v="21475"/>
    <n v="2076"/>
    <d v="2022-01-14T00:00:00"/>
    <x v="22"/>
    <n v="133"/>
    <n v="4924.7180451127824"/>
    <n v="161.46616541353384"/>
  </r>
  <r>
    <n v="38"/>
    <x v="37"/>
    <n v="15988"/>
    <n v="1761"/>
    <d v="2022-01-14T00:00:00"/>
    <x v="22"/>
    <n v="103"/>
    <n v="4734.3106796116499"/>
    <n v="155.22330097087379"/>
  </r>
  <r>
    <n v="39"/>
    <x v="38"/>
    <n v="17527"/>
    <n v="1943"/>
    <d v="2022-01-14T00:00:00"/>
    <x v="0"/>
    <n v="138"/>
    <n v="3873.721014492754"/>
    <n v="127.00724637681159"/>
  </r>
  <r>
    <n v="40"/>
    <x v="39"/>
    <n v="6493"/>
    <n v="1674"/>
    <d v="2022-01-18T00:00:00"/>
    <x v="7"/>
    <n v="44"/>
    <n v="4500.829545454545"/>
    <n v="147.56818181818181"/>
  </r>
  <r>
    <n v="41"/>
    <x v="40"/>
    <n v="32115"/>
    <n v="1974"/>
    <d v="2022-01-14T00:00:00"/>
    <x v="22"/>
    <n v="167"/>
    <n v="5865.3143712574847"/>
    <n v="192.30538922155688"/>
  </r>
  <r>
    <n v="42"/>
    <x v="41"/>
    <n v="24002"/>
    <n v="1986"/>
    <d v="2022-01-14T00:00:00"/>
    <x v="22"/>
    <n v="101"/>
    <n v="7248.1287128712866"/>
    <n v="237.64356435643563"/>
  </r>
  <r>
    <n v="43"/>
    <x v="42"/>
    <n v="12365"/>
    <n v="914"/>
    <d v="2022-01-03T00:00:00"/>
    <x v="23"/>
    <n v="81"/>
    <n v="4655.9567901234568"/>
    <n v="152.65432098765433"/>
  </r>
  <r>
    <n v="44"/>
    <x v="43"/>
    <n v="639"/>
    <n v="639"/>
    <d v="2021-11-15T00:00:00"/>
    <x v="24"/>
    <n v="0"/>
    <n v="639"/>
    <n v="45.642857142857146"/>
  </r>
  <r>
    <n v="45"/>
    <x v="44"/>
    <n v="2449"/>
    <n v="2209"/>
    <d v="2021-11-26T00:00:00"/>
    <x v="25"/>
    <n v="47"/>
    <n v="1589.244680851064"/>
    <n v="52.106382978723403"/>
  </r>
  <r>
    <n v="46"/>
    <x v="45"/>
    <n v="877"/>
    <n v="877"/>
    <d v="2021-12-21T00:00:00"/>
    <x v="14"/>
    <n v="0"/>
    <n v="877"/>
    <n v="62.642857142857146"/>
  </r>
  <r>
    <n v="47"/>
    <x v="46"/>
    <n v="7442"/>
    <n v="662"/>
    <d v="2021-11-21T00:00:00"/>
    <x v="26"/>
    <n v="42"/>
    <n v="5404.3095238095239"/>
    <n v="177.1904761904762"/>
  </r>
  <r>
    <n v="48"/>
    <x v="47"/>
    <n v="286"/>
    <n v="286"/>
    <d v="2022-01-17T00:00:00"/>
    <x v="5"/>
    <n v="0"/>
    <n v="286"/>
    <n v="20.428571428571427"/>
  </r>
  <r>
    <n v="49"/>
    <x v="48"/>
    <n v="27305"/>
    <n v="1477"/>
    <d v="2021-12-19T00:00:00"/>
    <x v="27"/>
    <n v="141"/>
    <n v="5906.4007092198581"/>
    <n v="193.65248226950354"/>
  </r>
  <r>
    <m/>
    <x v="49"/>
    <m/>
    <m/>
    <m/>
    <x v="28"/>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x v="0"/>
    <n v="1"/>
    <x v="0"/>
    <n v="3553"/>
    <n v="10.8"/>
    <n v="0"/>
    <n v="0.5"/>
    <n v="0.5"/>
    <n v="0"/>
    <n v="1776.5"/>
    <n v="1776.5"/>
    <n v="0"/>
    <n v="19186.2"/>
    <n v="19186.2"/>
  </r>
  <r>
    <n v="2"/>
    <x v="1"/>
    <n v="3"/>
    <x v="0"/>
    <n v="2760"/>
    <n v="10.8"/>
    <n v="0"/>
    <n v="0.5"/>
    <n v="0.5"/>
    <n v="0"/>
    <n v="1380"/>
    <n v="1380"/>
    <n v="0"/>
    <n v="14904.000000000002"/>
    <n v="14904.000000000002"/>
  </r>
  <r>
    <n v="3"/>
    <x v="2"/>
    <n v="33"/>
    <x v="1"/>
    <n v="2054"/>
    <n v="13.5"/>
    <n v="0.05"/>
    <n v="0.22"/>
    <n v="0.73"/>
    <n v="102.7"/>
    <n v="451.87999999999994"/>
    <n v="1499.42"/>
    <n v="1386.45"/>
    <n v="6100.3799999999992"/>
    <n v="20242.170000000002"/>
  </r>
  <r>
    <n v="4"/>
    <x v="3"/>
    <n v="2"/>
    <x v="2"/>
    <n v="3277"/>
    <n v="16.3"/>
    <n v="0"/>
    <n v="0.5"/>
    <n v="0.5"/>
    <n v="0"/>
    <n v="1638.5"/>
    <n v="1638.5"/>
    <n v="0"/>
    <n v="26707.550000000003"/>
    <n v="26707.550000000003"/>
  </r>
  <r>
    <n v="5"/>
    <x v="4"/>
    <n v="9"/>
    <x v="3"/>
    <n v="2600"/>
    <n v="12.5"/>
    <n v="0.15"/>
    <n v="0.35"/>
    <n v="0.5"/>
    <n v="390"/>
    <n v="910"/>
    <n v="1300"/>
    <n v="4875"/>
    <n v="11375"/>
    <n v="16250"/>
  </r>
  <r>
    <n v="6"/>
    <x v="1"/>
    <n v="3"/>
    <x v="4"/>
    <n v="2771"/>
    <n v="14"/>
    <n v="0"/>
    <n v="0.5"/>
    <n v="0.5"/>
    <n v="0"/>
    <n v="1385.5"/>
    <n v="1385.5"/>
    <n v="0"/>
    <n v="19397"/>
    <n v="19397"/>
  </r>
  <r>
    <n v="7"/>
    <x v="0"/>
    <n v="1"/>
    <x v="5"/>
    <n v="2950"/>
    <n v="14"/>
    <n v="0"/>
    <n v="0.5"/>
    <n v="0.5"/>
    <n v="0"/>
    <n v="1475"/>
    <n v="1475"/>
    <n v="0"/>
    <n v="20650"/>
    <n v="20650"/>
  </r>
  <r>
    <n v="8"/>
    <x v="5"/>
    <n v="16"/>
    <x v="6"/>
    <n v="2482"/>
    <n v="13.5"/>
    <n v="0.05"/>
    <n v="0.45"/>
    <n v="0.49999999999999994"/>
    <n v="124.10000000000001"/>
    <n v="1116.9000000000003"/>
    <n v="1240.9999999999998"/>
    <n v="1675.3500000000001"/>
    <n v="15078.150000000005"/>
    <n v="16753.499999999996"/>
  </r>
  <r>
    <n v="9"/>
    <x v="6"/>
    <n v="14"/>
    <x v="6"/>
    <n v="3190"/>
    <n v="13.5"/>
    <n v="0.1"/>
    <n v="0.4"/>
    <n v="0.5"/>
    <n v="319"/>
    <n v="1276"/>
    <n v="1595"/>
    <n v="4306.5"/>
    <n v="17226"/>
    <n v="21532.5"/>
  </r>
  <r>
    <n v="10"/>
    <x v="3"/>
    <n v="2"/>
    <x v="7"/>
    <n v="2516"/>
    <n v="10"/>
    <n v="0"/>
    <n v="0.5"/>
    <n v="0.5"/>
    <n v="0"/>
    <n v="1258"/>
    <n v="1258"/>
    <n v="0"/>
    <n v="12580"/>
    <n v="12580"/>
  </r>
  <r>
    <n v="11"/>
    <x v="7"/>
    <n v="41"/>
    <x v="8"/>
    <n v="4206"/>
    <n v="11.5"/>
    <n v="0.15"/>
    <n v="0.35"/>
    <n v="0.5"/>
    <n v="630.9"/>
    <n v="1472.1"/>
    <n v="2103"/>
    <n v="7255.3499999999995"/>
    <n v="16929.149999999998"/>
    <n v="24184.5"/>
  </r>
  <r>
    <n v="12"/>
    <x v="4"/>
    <n v="9"/>
    <x v="8"/>
    <n v="2387"/>
    <n v="10"/>
    <n v="0.15"/>
    <n v="0.35"/>
    <n v="0.5"/>
    <n v="358.05"/>
    <n v="835.45"/>
    <n v="1193.5"/>
    <n v="3580.5"/>
    <n v="8354.5"/>
    <n v="11935"/>
  </r>
  <r>
    <n v="13"/>
    <x v="8"/>
    <n v="49"/>
    <x v="8"/>
    <n v="4742"/>
    <n v="10"/>
    <n v="0.2"/>
    <n v="0.4"/>
    <n v="0.4"/>
    <n v="948.40000000000009"/>
    <n v="1896.7999999999997"/>
    <n v="1896.8000000000002"/>
    <n v="9484"/>
    <n v="18967.999999999996"/>
    <n v="18968"/>
  </r>
  <r>
    <n v="14"/>
    <x v="9"/>
    <n v="19"/>
    <x v="8"/>
    <n v="1776"/>
    <n v="10"/>
    <n v="0.2"/>
    <n v="0.4"/>
    <n v="0.4"/>
    <n v="355.20000000000005"/>
    <n v="710.39999999999986"/>
    <n v="710.40000000000009"/>
    <n v="3552.0000000000005"/>
    <n v="7103.9999999999982"/>
    <n v="7104.0000000000009"/>
  </r>
  <r>
    <n v="15"/>
    <x v="6"/>
    <n v="14"/>
    <x v="9"/>
    <n v="2746"/>
    <n v="9.8000000000000007"/>
    <n v="0.1"/>
    <n v="0.4"/>
    <n v="0.5"/>
    <n v="274.60000000000002"/>
    <n v="1098.4000000000001"/>
    <n v="1373"/>
    <n v="2691.0800000000004"/>
    <n v="10764.320000000002"/>
    <n v="13455.400000000001"/>
  </r>
  <r>
    <n v="16"/>
    <x v="1"/>
    <n v="3"/>
    <x v="10"/>
    <n v="3286"/>
    <n v="9"/>
    <n v="0"/>
    <n v="0.5"/>
    <n v="0.5"/>
    <n v="0"/>
    <n v="1643"/>
    <n v="1643"/>
    <n v="0"/>
    <n v="14787"/>
    <n v="14787"/>
  </r>
  <r>
    <n v="17"/>
    <x v="0"/>
    <n v="1"/>
    <x v="11"/>
    <n v="3072"/>
    <n v="8.1999999999999993"/>
    <n v="0"/>
    <n v="0.5"/>
    <n v="0.5"/>
    <n v="0"/>
    <n v="1536"/>
    <n v="1536"/>
    <n v="0"/>
    <n v="12595.199999999999"/>
    <n v="12595.199999999999"/>
  </r>
  <r>
    <n v="18"/>
    <x v="5"/>
    <n v="16"/>
    <x v="12"/>
    <n v="3663"/>
    <n v="8.5"/>
    <n v="0.05"/>
    <n v="0.45"/>
    <n v="0.49999999999999994"/>
    <n v="183.15"/>
    <n v="1648.3500000000001"/>
    <n v="1831.4999999999998"/>
    <n v="1556.7750000000001"/>
    <n v="14010.975"/>
    <n v="15567.749999999998"/>
  </r>
  <r>
    <n v="19"/>
    <x v="2"/>
    <n v="33"/>
    <x v="13"/>
    <n v="1605"/>
    <n v="8.6"/>
    <n v="1.2489999999999999E-2"/>
    <n v="0.15579999999999999"/>
    <n v="0.83170999999999995"/>
    <n v="20.04645"/>
    <n v="250.05900000000003"/>
    <n v="1334.89455"/>
    <n v="172.39946999999998"/>
    <n v="2150.5074"/>
    <n v="11480.093129999999"/>
  </r>
  <r>
    <n v="20"/>
    <x v="10"/>
    <n v="29"/>
    <x v="13"/>
    <n v="820"/>
    <n v="9.8000000000000007"/>
    <n v="0"/>
    <n v="0.16850000000000001"/>
    <n v="0.83150000000000002"/>
    <n v="0"/>
    <n v="138.16999999999996"/>
    <n v="681.83"/>
    <n v="0"/>
    <n v="1354.0659999999998"/>
    <n v="6681.9340000000011"/>
  </r>
  <r>
    <n v="21"/>
    <x v="7"/>
    <n v="41"/>
    <x v="14"/>
    <n v="3033"/>
    <n v="8.6"/>
    <n v="0.1361"/>
    <n v="0.4"/>
    <n v="0.46389999999999998"/>
    <n v="412.79129999999998"/>
    <n v="1213.2000000000003"/>
    <n v="1407.0086999999999"/>
    <n v="3550.0051799999997"/>
    <n v="10433.520000000002"/>
    <n v="12100.274819999999"/>
  </r>
  <r>
    <n v="22"/>
    <x v="3"/>
    <n v="2"/>
    <x v="15"/>
    <n v="3232"/>
    <n v="8.6"/>
    <n v="0"/>
    <n v="0.5"/>
    <n v="0.5"/>
    <n v="0"/>
    <n v="1616"/>
    <n v="1616"/>
    <n v="0"/>
    <n v="13897.599999999999"/>
    <n v="13897.599999999999"/>
  </r>
  <r>
    <n v="23"/>
    <x v="11"/>
    <n v="24"/>
    <x v="15"/>
    <n v="3185"/>
    <n v="8.6"/>
    <n v="0.1"/>
    <n v="0.4"/>
    <n v="0.5"/>
    <n v="318.5"/>
    <n v="1274"/>
    <n v="1592.5"/>
    <n v="2739.1"/>
    <n v="10956.4"/>
    <n v="13695.5"/>
  </r>
  <r>
    <n v="24"/>
    <x v="12"/>
    <n v="30"/>
    <x v="16"/>
    <n v="4226"/>
    <n v="8.6"/>
    <n v="0.25"/>
    <n v="0.35"/>
    <n v="0.4"/>
    <n v="1056.5"/>
    <n v="1479.1"/>
    <n v="1690.4"/>
    <n v="9085.9"/>
    <n v="12720.259999999998"/>
    <n v="14537.44"/>
  </r>
  <r>
    <n v="25"/>
    <x v="2"/>
    <n v="33"/>
    <x v="16"/>
    <n v="2766"/>
    <n v="8.6"/>
    <n v="0.2"/>
    <n v="0.4"/>
    <n v="0.4"/>
    <n v="553.20000000000005"/>
    <n v="1106.3999999999999"/>
    <n v="1106.4000000000001"/>
    <n v="4757.5200000000004"/>
    <n v="9515.0399999999991"/>
    <n v="9515.0400000000009"/>
  </r>
  <r>
    <n v="26"/>
    <x v="13"/>
    <n v="26"/>
    <x v="16"/>
    <n v="2597"/>
    <n v="7.6"/>
    <n v="0.2"/>
    <n v="0.4"/>
    <n v="0.4"/>
    <n v="519.4"/>
    <n v="1038.8000000000002"/>
    <n v="1038.8"/>
    <n v="3947.4399999999996"/>
    <n v="7894.880000000001"/>
    <n v="7894.8799999999992"/>
  </r>
  <r>
    <n v="27"/>
    <x v="4"/>
    <n v="9"/>
    <x v="16"/>
    <n v="3236"/>
    <n v="8.3000000000000007"/>
    <n v="0.15"/>
    <n v="0.35"/>
    <n v="0.5"/>
    <n v="485.4"/>
    <n v="1132.5999999999999"/>
    <n v="1618"/>
    <n v="4028.82"/>
    <n v="9400.58"/>
    <n v="13429.400000000001"/>
  </r>
  <r>
    <n v="28"/>
    <x v="14"/>
    <n v="20"/>
    <x v="16"/>
    <n v="3821"/>
    <n v="8.6"/>
    <n v="0.2"/>
    <n v="0.4"/>
    <n v="0.4"/>
    <n v="764.2"/>
    <n v="1528.3999999999999"/>
    <n v="1528.4"/>
    <n v="6572.12"/>
    <n v="13144.239999999998"/>
    <n v="13144.24"/>
  </r>
  <r>
    <n v="29"/>
    <x v="15"/>
    <n v="17"/>
    <x v="16"/>
    <n v="4128"/>
    <n v="8.6"/>
    <n v="0.25"/>
    <n v="0.35"/>
    <n v="0.4"/>
    <n v="1032"/>
    <n v="1444.8000000000002"/>
    <n v="1651.2"/>
    <n v="8875.1999999999989"/>
    <n v="12425.28"/>
    <n v="14200.32"/>
  </r>
  <r>
    <n v="30"/>
    <x v="15"/>
    <n v="17"/>
    <x v="16"/>
    <n v="1917"/>
    <n v="6.6"/>
    <n v="0.25"/>
    <n v="0.35"/>
    <n v="0.4"/>
    <n v="479.25"/>
    <n v="670.94999999999982"/>
    <n v="766.80000000000007"/>
    <n v="3163.0499999999997"/>
    <n v="4428.2699999999986"/>
    <n v="5060.88"/>
  </r>
  <r>
    <n v="31"/>
    <x v="8"/>
    <n v="49"/>
    <x v="16"/>
    <n v="4091"/>
    <n v="7.5"/>
    <n v="0.2"/>
    <n v="0.4"/>
    <n v="0.4"/>
    <n v="818.2"/>
    <n v="1636.3999999999999"/>
    <n v="1636.4"/>
    <n v="6136.5"/>
    <n v="12272.999999999998"/>
    <n v="12273"/>
  </r>
  <r>
    <n v="32"/>
    <x v="16"/>
    <n v="18"/>
    <x v="16"/>
    <n v="3268"/>
    <n v="8.6"/>
    <n v="0.2"/>
    <n v="0.4"/>
    <n v="0.4"/>
    <n v="653.6"/>
    <n v="1307.1999999999998"/>
    <n v="1307.2"/>
    <n v="5620.96"/>
    <n v="11241.919999999998"/>
    <n v="11241.92"/>
  </r>
  <r>
    <n v="33"/>
    <x v="9"/>
    <n v="19"/>
    <x v="16"/>
    <n v="2438"/>
    <n v="8"/>
    <n v="0.2"/>
    <n v="0.4"/>
    <n v="0.4"/>
    <n v="487.6"/>
    <n v="975.19999999999993"/>
    <n v="975.2"/>
    <n v="3900.8"/>
    <n v="7801.5999999999995"/>
    <n v="7801.6"/>
  </r>
  <r>
    <n v="34"/>
    <x v="10"/>
    <n v="29"/>
    <x v="17"/>
    <n v="2213"/>
    <n v="7.5"/>
    <n v="0"/>
    <n v="0.36499999999999999"/>
    <n v="0.63500000000000001"/>
    <n v="0"/>
    <n v="807.74499999999989"/>
    <n v="1405.2550000000001"/>
    <n v="0"/>
    <n v="6058.0874999999996"/>
    <n v="10539.4125"/>
  </r>
  <r>
    <n v="35"/>
    <x v="1"/>
    <n v="3"/>
    <x v="18"/>
    <n v="2458"/>
    <n v="7.6"/>
    <n v="0"/>
    <n v="0.25"/>
    <n v="0.75"/>
    <n v="0"/>
    <n v="614.5"/>
    <n v="1843.5"/>
    <n v="0"/>
    <n v="4670.2"/>
    <n v="14010.599999999999"/>
  </r>
  <r>
    <n v="36"/>
    <x v="0"/>
    <n v="1"/>
    <x v="19"/>
    <n v="1199"/>
    <n v="7.5"/>
    <n v="0"/>
    <n v="0.5"/>
    <n v="0.5"/>
    <n v="0"/>
    <n v="599.5"/>
    <n v="599.5"/>
    <n v="0"/>
    <n v="4496.25"/>
    <n v="4496.25"/>
  </r>
  <r>
    <n v="37"/>
    <x v="5"/>
    <n v="16"/>
    <x v="19"/>
    <n v="2685"/>
    <n v="6.7"/>
    <n v="0.05"/>
    <n v="0.45"/>
    <n v="0.49999999999999994"/>
    <n v="134.25"/>
    <n v="1208.2500000000002"/>
    <n v="1342.4999999999998"/>
    <n v="899.47500000000002"/>
    <n v="8095.2750000000015"/>
    <n v="8994.7499999999982"/>
  </r>
  <r>
    <n v="38"/>
    <x v="17"/>
    <n v="5"/>
    <x v="19"/>
    <n v="588"/>
    <n v="7.5"/>
    <n v="0"/>
    <n v="0.5"/>
    <n v="0.5"/>
    <n v="0"/>
    <n v="294"/>
    <n v="294"/>
    <n v="0"/>
    <n v="2205"/>
    <n v="2205"/>
  </r>
  <r>
    <n v="39"/>
    <x v="17"/>
    <n v="5"/>
    <x v="20"/>
    <n v="384"/>
    <n v="4.7"/>
    <n v="0.1"/>
    <n v="0.4"/>
    <n v="0.5"/>
    <n v="38.400000000000006"/>
    <n v="153.6"/>
    <n v="192"/>
    <n v="180.48000000000005"/>
    <n v="721.92"/>
    <n v="902.40000000000009"/>
  </r>
  <r>
    <n v="40"/>
    <x v="7"/>
    <n v="41"/>
    <x v="21"/>
    <n v="2694"/>
    <n v="6.7"/>
    <n v="0.15"/>
    <n v="0.4"/>
    <n v="0.44999999999999996"/>
    <n v="404.09999999999997"/>
    <n v="1077.6000000000001"/>
    <n v="1212.3"/>
    <n v="2707.47"/>
    <n v="7219.920000000001"/>
    <n v="8122.41"/>
  </r>
  <r>
    <n v="41"/>
    <x v="18"/>
    <n v="8"/>
    <x v="21"/>
    <n v="788"/>
    <n v="6.3"/>
    <n v="0.1"/>
    <n v="0.4"/>
    <n v="0.5"/>
    <n v="78.800000000000011"/>
    <n v="315.2"/>
    <n v="394"/>
    <n v="496.44000000000005"/>
    <n v="1985.7599999999998"/>
    <n v="2482.1999999999998"/>
  </r>
  <r>
    <n v="42"/>
    <x v="12"/>
    <n v="30"/>
    <x v="22"/>
    <n v="2587"/>
    <n v="6.6"/>
    <n v="0.25"/>
    <n v="0.35"/>
    <n v="0.4"/>
    <n v="646.75"/>
    <n v="905.45"/>
    <n v="1034.8"/>
    <n v="4268.55"/>
    <n v="5975.97"/>
    <n v="6829.6799999999994"/>
  </r>
  <r>
    <n v="43"/>
    <x v="2"/>
    <n v="33"/>
    <x v="22"/>
    <n v="2280"/>
    <n v="6.6"/>
    <n v="0.2"/>
    <n v="0.4"/>
    <n v="0.4"/>
    <n v="456"/>
    <n v="912"/>
    <n v="912"/>
    <n v="3009.6"/>
    <n v="6019.2"/>
    <n v="6019.2"/>
  </r>
  <r>
    <n v="44"/>
    <x v="13"/>
    <n v="26"/>
    <x v="22"/>
    <n v="2630"/>
    <n v="6.6"/>
    <n v="0.2"/>
    <n v="0.4"/>
    <n v="0.4"/>
    <n v="526"/>
    <n v="1052"/>
    <n v="1052"/>
    <n v="3471.6"/>
    <n v="6943.2"/>
    <n v="6943.2"/>
  </r>
  <r>
    <n v="45"/>
    <x v="19"/>
    <n v="39"/>
    <x v="22"/>
    <n v="3788"/>
    <n v="6.6"/>
    <n v="0.2"/>
    <n v="0.4"/>
    <n v="0.4"/>
    <n v="757.6"/>
    <n v="1515.2000000000003"/>
    <n v="1515.2"/>
    <n v="5000.16"/>
    <n v="10000.320000000002"/>
    <n v="10000.32"/>
  </r>
  <r>
    <n v="46"/>
    <x v="14"/>
    <n v="20"/>
    <x v="22"/>
    <n v="2219"/>
    <n v="6.6"/>
    <n v="0.2"/>
    <n v="0.4"/>
    <n v="0.4"/>
    <n v="443.8"/>
    <n v="887.60000000000014"/>
    <n v="887.6"/>
    <n v="2929.08"/>
    <n v="5858.1600000000008"/>
    <n v="5858.16"/>
  </r>
  <r>
    <n v="47"/>
    <x v="8"/>
    <n v="49"/>
    <x v="22"/>
    <n v="2263"/>
    <n v="6.6"/>
    <n v="0.2"/>
    <n v="0.4"/>
    <n v="0.4"/>
    <n v="452.6"/>
    <n v="905.19999999999993"/>
    <n v="905.2"/>
    <n v="2987.16"/>
    <n v="5974.3199999999988"/>
    <n v="5974.32"/>
  </r>
  <r>
    <n v="48"/>
    <x v="16"/>
    <n v="18"/>
    <x v="22"/>
    <n v="1219"/>
    <n v="6.6"/>
    <n v="0.2"/>
    <n v="0.4"/>
    <n v="0.4"/>
    <n v="243.8"/>
    <n v="487.59999999999997"/>
    <n v="487.6"/>
    <n v="1609.08"/>
    <n v="3218.1599999999994"/>
    <n v="3218.16"/>
  </r>
  <r>
    <n v="49"/>
    <x v="9"/>
    <n v="19"/>
    <x v="22"/>
    <n v="1278"/>
    <n v="6.6"/>
    <n v="0.2"/>
    <n v="0.4"/>
    <n v="0.4"/>
    <n v="255.60000000000002"/>
    <n v="511.19999999999993"/>
    <n v="511.20000000000005"/>
    <n v="1686.96"/>
    <n v="3373.9199999999992"/>
    <n v="3373.92"/>
  </r>
  <r>
    <n v="50"/>
    <x v="6"/>
    <n v="14"/>
    <x v="23"/>
    <n v="2950"/>
    <n v="5.8"/>
    <n v="0.2"/>
    <n v="0.4"/>
    <n v="0.4"/>
    <n v="590"/>
    <n v="1180"/>
    <n v="1180"/>
    <n v="3422"/>
    <n v="6844"/>
    <n v="6844"/>
  </r>
  <r>
    <n v="51"/>
    <x v="3"/>
    <n v="2"/>
    <x v="24"/>
    <n v="948"/>
    <n v="6.4"/>
    <n v="0"/>
    <n v="0.4"/>
    <n v="0.6"/>
    <n v="0"/>
    <n v="379.20000000000005"/>
    <n v="568.79999999999995"/>
    <n v="0"/>
    <n v="2426.8800000000006"/>
    <n v="3640.3199999999997"/>
  </r>
  <r>
    <n v="52"/>
    <x v="11"/>
    <n v="24"/>
    <x v="24"/>
    <n v="1591"/>
    <n v="6.57"/>
    <n v="0.1"/>
    <n v="0.4"/>
    <n v="0.5"/>
    <n v="159.10000000000002"/>
    <n v="636.4"/>
    <n v="795.5"/>
    <n v="1045.2870000000003"/>
    <n v="4181.1480000000001"/>
    <n v="5226.4350000000004"/>
  </r>
  <r>
    <n v="53"/>
    <x v="20"/>
    <n v="7"/>
    <x v="24"/>
    <n v="989"/>
    <n v="4.3"/>
    <n v="0.15"/>
    <n v="0.25"/>
    <n v="0.6"/>
    <n v="148.35"/>
    <n v="247.25000000000003"/>
    <n v="593.4"/>
    <n v="637.90499999999997"/>
    <n v="1063.1750000000002"/>
    <n v="2551.62"/>
  </r>
  <r>
    <n v="54"/>
    <x v="4"/>
    <n v="9"/>
    <x v="24"/>
    <n v="2733"/>
    <n v="5"/>
    <n v="0.15"/>
    <n v="0.35"/>
    <n v="0.5"/>
    <n v="409.95"/>
    <n v="956.55"/>
    <n v="1366.5"/>
    <n v="2049.75"/>
    <n v="4782.75"/>
    <n v="6832.5"/>
  </r>
  <r>
    <n v="55"/>
    <x v="0"/>
    <n v="1"/>
    <x v="25"/>
    <n v="1895"/>
    <n v="6"/>
    <n v="0"/>
    <n v="1"/>
    <n v="0"/>
    <n v="0"/>
    <n v="1895"/>
    <n v="0"/>
    <n v="0"/>
    <n v="11370"/>
    <n v="0"/>
  </r>
  <r>
    <n v="56"/>
    <x v="1"/>
    <n v="3"/>
    <x v="26"/>
    <n v="830"/>
    <n v="6.7"/>
    <n v="0"/>
    <n v="0.5"/>
    <n v="0.5"/>
    <n v="0"/>
    <n v="415"/>
    <n v="415"/>
    <n v="0"/>
    <n v="2780.5"/>
    <n v="2780.5"/>
  </r>
  <r>
    <n v="57"/>
    <x v="21"/>
    <n v="37"/>
    <x v="26"/>
    <n v="1134"/>
    <n v="6.7"/>
    <n v="0.15"/>
    <n v="0.35"/>
    <n v="0.5"/>
    <n v="170.1"/>
    <n v="396.9"/>
    <n v="567"/>
    <n v="1139.67"/>
    <n v="2659.23"/>
    <n v="3798.9"/>
  </r>
  <r>
    <n v="58"/>
    <x v="5"/>
    <n v="16"/>
    <x v="27"/>
    <n v="3261"/>
    <n v="5.92"/>
    <n v="0"/>
    <n v="0.5"/>
    <n v="0.5"/>
    <n v="0"/>
    <n v="1630.5"/>
    <n v="1630.5"/>
    <n v="0"/>
    <n v="9652.56"/>
    <n v="9652.56"/>
  </r>
  <r>
    <n v="59"/>
    <x v="7"/>
    <n v="41"/>
    <x v="28"/>
    <n v="1348"/>
    <n v="4.7"/>
    <n v="0.1"/>
    <n v="0.4"/>
    <n v="0.5"/>
    <n v="134.80000000000001"/>
    <n v="539.20000000000005"/>
    <n v="674"/>
    <n v="633.56000000000006"/>
    <n v="2534.2400000000002"/>
    <n v="3167.8"/>
  </r>
  <r>
    <n v="60"/>
    <x v="7"/>
    <n v="41"/>
    <x v="29"/>
    <n v="132"/>
    <n v="3"/>
    <n v="0.1"/>
    <n v="0.4"/>
    <n v="0.5"/>
    <n v="13.200000000000001"/>
    <n v="52.8"/>
    <n v="66"/>
    <n v="39.6"/>
    <n v="158.39999999999998"/>
    <n v="198"/>
  </r>
  <r>
    <n v="61"/>
    <x v="3"/>
    <n v="2"/>
    <x v="30"/>
    <n v="2333"/>
    <n v="3.6"/>
    <n v="0"/>
    <n v="1"/>
    <n v="0"/>
    <n v="0"/>
    <n v="2333"/>
    <n v="0"/>
    <n v="0"/>
    <n v="8398.8000000000011"/>
    <n v="0"/>
  </r>
  <r>
    <n v="62"/>
    <x v="1"/>
    <n v="3"/>
    <x v="30"/>
    <n v="2689"/>
    <n v="3.6"/>
    <n v="0"/>
    <n v="1"/>
    <n v="0"/>
    <n v="0"/>
    <n v="2689"/>
    <n v="0"/>
    <n v="0"/>
    <n v="9680.4"/>
    <n v="0"/>
  </r>
  <r>
    <n v="63"/>
    <x v="21"/>
    <n v="37"/>
    <x v="30"/>
    <n v="2077"/>
    <n v="3.2"/>
    <n v="0.2"/>
    <n v="0.35"/>
    <n v="0.45000000000000007"/>
    <n v="415.40000000000003"/>
    <n v="726.94999999999982"/>
    <n v="934.65000000000009"/>
    <n v="1329.2800000000002"/>
    <n v="2326.2399999999993"/>
    <n v="2990.8800000000006"/>
  </r>
  <r>
    <n v="64"/>
    <x v="22"/>
    <n v="35"/>
    <x v="30"/>
    <n v="385"/>
    <n v="3"/>
    <n v="8.6499999999999994E-2"/>
    <n v="0.4"/>
    <n v="0.51349999999999996"/>
    <n v="33.302499999999995"/>
    <n v="154"/>
    <n v="197.69749999999999"/>
    <n v="99.907499999999985"/>
    <n v="462"/>
    <n v="593.09249999999997"/>
  </r>
  <r>
    <n v="65"/>
    <x v="20"/>
    <n v="7"/>
    <x v="30"/>
    <n v="1143"/>
    <n v="3"/>
    <n v="0.13650000000000001"/>
    <n v="0.35"/>
    <n v="0.51349999999999996"/>
    <n v="156.01950000000002"/>
    <n v="400.05000000000007"/>
    <n v="586.93049999999994"/>
    <n v="468.05850000000009"/>
    <n v="1200.1500000000001"/>
    <n v="1760.7914999999998"/>
  </r>
  <r>
    <n v="66"/>
    <x v="4"/>
    <n v="9"/>
    <x v="30"/>
    <n v="2211"/>
    <n v="3.5"/>
    <n v="0.15"/>
    <n v="0.35"/>
    <n v="0.5"/>
    <n v="331.65"/>
    <n v="773.85"/>
    <n v="1105.5"/>
    <n v="1160.7749999999999"/>
    <n v="2708.4749999999999"/>
    <n v="3869.25"/>
  </r>
  <r>
    <n v="67"/>
    <x v="23"/>
    <n v="38"/>
    <x v="31"/>
    <n v="5684"/>
    <n v="3.4"/>
    <n v="0.15"/>
    <n v="0.35"/>
    <n v="0.5"/>
    <n v="852.6"/>
    <n v="1989.4"/>
    <n v="2842"/>
    <n v="2898.84"/>
    <n v="6763.96"/>
    <n v="9662.7999999999993"/>
  </r>
  <r>
    <n v="68"/>
    <x v="6"/>
    <n v="14"/>
    <x v="31"/>
    <n v="393"/>
    <n v="3.4"/>
    <n v="0.15"/>
    <n v="0.35"/>
    <n v="0.5"/>
    <n v="58.949999999999996"/>
    <n v="137.55000000000001"/>
    <n v="196.5"/>
    <n v="200.42999999999998"/>
    <n v="467.67"/>
    <n v="668.1"/>
  </r>
  <r>
    <n v="69"/>
    <x v="24"/>
    <n v="42"/>
    <x v="32"/>
    <n v="2178"/>
    <n v="4"/>
    <n v="0.08"/>
    <n v="0.42"/>
    <n v="0.5"/>
    <n v="174.24"/>
    <n v="914.76"/>
    <n v="1089"/>
    <n v="696.96"/>
    <n v="3659.04"/>
    <n v="4356"/>
  </r>
  <r>
    <n v="70"/>
    <x v="25"/>
    <n v="28"/>
    <x v="33"/>
    <n v="536"/>
    <n v="4"/>
    <n v="0.15"/>
    <n v="0.35"/>
    <n v="0.5"/>
    <n v="80.399999999999991"/>
    <n v="187.60000000000002"/>
    <n v="268"/>
    <n v="321.59999999999997"/>
    <n v="750.40000000000009"/>
    <n v="1072"/>
  </r>
  <r>
    <n v="71"/>
    <x v="6"/>
    <n v="14"/>
    <x v="33"/>
    <n v="1510"/>
    <n v="4"/>
    <n v="0.1"/>
    <n v="0.4"/>
    <n v="0.5"/>
    <n v="151"/>
    <n v="604"/>
    <n v="755"/>
    <n v="604"/>
    <n v="2416"/>
    <n v="3020"/>
  </r>
  <r>
    <n v="72"/>
    <x v="5"/>
    <n v="16"/>
    <x v="34"/>
    <n v="2455"/>
    <n v="4.08"/>
    <n v="0"/>
    <n v="0.5"/>
    <n v="0.5"/>
    <n v="0"/>
    <n v="1227.5"/>
    <n v="1227.5"/>
    <n v="0"/>
    <n v="5008.2"/>
    <n v="5008.2"/>
  </r>
  <r>
    <n v="73"/>
    <x v="7"/>
    <n v="41"/>
    <x v="34"/>
    <n v="2277"/>
    <n v="4.08"/>
    <n v="0.05"/>
    <n v="0.35"/>
    <n v="0.6"/>
    <n v="113.85000000000001"/>
    <n v="796.94999999999993"/>
    <n v="1366.2"/>
    <n v="464.50800000000004"/>
    <n v="3251.5559999999996"/>
    <n v="5574.0960000000005"/>
  </r>
  <r>
    <n v="74"/>
    <x v="23"/>
    <n v="38"/>
    <x v="34"/>
    <n v="673"/>
    <n v="3.9"/>
    <n v="0.05"/>
    <n v="0.25"/>
    <n v="0.7"/>
    <n v="33.65"/>
    <n v="168.25000000000003"/>
    <n v="471.09999999999997"/>
    <n v="131.23499999999999"/>
    <n v="656.17500000000007"/>
    <n v="1837.2899999999997"/>
  </r>
  <r>
    <n v="75"/>
    <x v="25"/>
    <n v="28"/>
    <x v="34"/>
    <n v="759"/>
    <n v="3.9"/>
    <n v="0.05"/>
    <n v="0.35"/>
    <n v="0.6"/>
    <n v="37.950000000000003"/>
    <n v="265.65000000000003"/>
    <n v="455.4"/>
    <n v="148.005"/>
    <n v="1036.0350000000001"/>
    <n v="1776.06"/>
  </r>
  <r>
    <n v="76"/>
    <x v="22"/>
    <n v="35"/>
    <x v="34"/>
    <n v="1259"/>
    <n v="4"/>
    <n v="0.05"/>
    <n v="0.45"/>
    <n v="0.49999999999999994"/>
    <n v="62.95"/>
    <n v="566.55000000000007"/>
    <n v="629.49999999999989"/>
    <n v="251.8"/>
    <n v="2266.2000000000003"/>
    <n v="2517.9999999999995"/>
  </r>
  <r>
    <n v="77"/>
    <x v="26"/>
    <n v="22"/>
    <x v="34"/>
    <n v="1508"/>
    <n v="3.9"/>
    <n v="0.05"/>
    <n v="0.35"/>
    <n v="0.6"/>
    <n v="75.400000000000006"/>
    <n v="527.80000000000007"/>
    <n v="904.8"/>
    <n v="294.06"/>
    <n v="2058.42"/>
    <n v="3528.72"/>
  </r>
  <r>
    <n v="78"/>
    <x v="12"/>
    <n v="30"/>
    <x v="34"/>
    <n v="2390"/>
    <n v="3.9"/>
    <n v="0.05"/>
    <n v="0.35"/>
    <n v="0.6"/>
    <n v="119.5"/>
    <n v="836.5"/>
    <n v="1434"/>
    <n v="466.05"/>
    <n v="3262.35"/>
    <n v="5592.5999999999995"/>
  </r>
  <r>
    <n v="79"/>
    <x v="2"/>
    <n v="33"/>
    <x v="34"/>
    <n v="1887"/>
    <n v="4"/>
    <n v="0.05"/>
    <n v="0.35"/>
    <n v="0.6"/>
    <n v="94.350000000000009"/>
    <n v="660.44999999999993"/>
    <n v="1132.2"/>
    <n v="377.40000000000003"/>
    <n v="2641.7999999999997"/>
    <n v="4528.8"/>
  </r>
  <r>
    <n v="80"/>
    <x v="13"/>
    <n v="26"/>
    <x v="34"/>
    <n v="2590"/>
    <n v="4"/>
    <n v="0.05"/>
    <n v="0.35"/>
    <n v="0.6"/>
    <n v="129.5"/>
    <n v="906.5"/>
    <n v="1554"/>
    <n v="518"/>
    <n v="3626"/>
    <n v="6216"/>
  </r>
  <r>
    <n v="81"/>
    <x v="19"/>
    <n v="39"/>
    <x v="34"/>
    <n v="1635"/>
    <n v="4"/>
    <n v="0.05"/>
    <n v="0.25"/>
    <n v="0.7"/>
    <n v="81.75"/>
    <n v="408.75"/>
    <n v="1144.5"/>
    <n v="327"/>
    <n v="1635"/>
    <n v="4578"/>
  </r>
  <r>
    <n v="82"/>
    <x v="27"/>
    <n v="47"/>
    <x v="34"/>
    <n v="1701"/>
    <n v="4"/>
    <n v="0.05"/>
    <n v="0.35"/>
    <n v="0.6"/>
    <n v="85.050000000000011"/>
    <n v="595.35000000000014"/>
    <n v="1020.5999999999999"/>
    <n v="340.20000000000005"/>
    <n v="2381.4000000000005"/>
    <n v="4082.3999999999996"/>
  </r>
  <r>
    <n v="83"/>
    <x v="27"/>
    <n v="47"/>
    <x v="34"/>
    <n v="286"/>
    <n v="4"/>
    <n v="0.1"/>
    <n v="0.4"/>
    <n v="0.5"/>
    <n v="28.6"/>
    <n v="114.4"/>
    <n v="143"/>
    <n v="114.4"/>
    <n v="457.6"/>
    <n v="572"/>
  </r>
  <r>
    <n v="84"/>
    <x v="15"/>
    <n v="17"/>
    <x v="34"/>
    <n v="1851"/>
    <n v="3.9"/>
    <n v="0.05"/>
    <n v="0.35"/>
    <n v="0.6"/>
    <n v="92.550000000000011"/>
    <n v="647.85000000000014"/>
    <n v="1110.5999999999999"/>
    <n v="360.94500000000005"/>
    <n v="2526.6150000000007"/>
    <n v="4331.3399999999992"/>
  </r>
  <r>
    <n v="85"/>
    <x v="8"/>
    <n v="49"/>
    <x v="34"/>
    <n v="1798"/>
    <n v="3.3"/>
    <n v="0.05"/>
    <n v="0.35"/>
    <n v="0.6"/>
    <n v="89.9"/>
    <n v="629.30000000000007"/>
    <n v="1078.8"/>
    <n v="296.67"/>
    <n v="2076.69"/>
    <n v="3560.0399999999995"/>
  </r>
  <r>
    <n v="86"/>
    <x v="28"/>
    <n v="45"/>
    <x v="34"/>
    <n v="240"/>
    <n v="3.9"/>
    <n v="0.05"/>
    <n v="0.25"/>
    <n v="0.7"/>
    <n v="12"/>
    <n v="60"/>
    <n v="168"/>
    <n v="46.8"/>
    <n v="234"/>
    <n v="655.19999999999993"/>
  </r>
  <r>
    <n v="87"/>
    <x v="29"/>
    <n v="36"/>
    <x v="35"/>
    <n v="750"/>
    <n v="3.63"/>
    <n v="0.15"/>
    <n v="0.35"/>
    <n v="0.5"/>
    <n v="112.5"/>
    <n v="262.5"/>
    <n v="375"/>
    <n v="408.375"/>
    <n v="952.875"/>
    <n v="1361.25"/>
  </r>
  <r>
    <n v="88"/>
    <x v="30"/>
    <n v="43"/>
    <x v="36"/>
    <n v="1906"/>
    <n v="3.5"/>
    <n v="0.15"/>
    <n v="0.35"/>
    <n v="0.5"/>
    <n v="285.89999999999998"/>
    <n v="667.1"/>
    <n v="953"/>
    <n v="1000.6499999999999"/>
    <n v="2334.85"/>
    <n v="3335.5"/>
  </r>
  <r>
    <n v="89"/>
    <x v="1"/>
    <n v="3"/>
    <x v="37"/>
    <n v="3131"/>
    <n v="3.4"/>
    <n v="0"/>
    <n v="1"/>
    <n v="0"/>
    <n v="0"/>
    <n v="3131"/>
    <n v="0"/>
    <n v="0"/>
    <n v="10645.4"/>
    <n v="0"/>
  </r>
  <r>
    <n v="90"/>
    <x v="21"/>
    <n v="37"/>
    <x v="38"/>
    <n v="2328"/>
    <n v="3.6"/>
    <n v="0.2"/>
    <n v="0.35"/>
    <n v="0.45000000000000007"/>
    <n v="465.6"/>
    <n v="814.79999999999984"/>
    <n v="1047.6000000000001"/>
    <n v="1676.16"/>
    <n v="2933.2799999999993"/>
    <n v="3771.3600000000006"/>
  </r>
  <r>
    <n v="91"/>
    <x v="18"/>
    <n v="8"/>
    <x v="38"/>
    <n v="2434"/>
    <n v="3.6"/>
    <n v="0.1"/>
    <n v="0.4"/>
    <n v="0.5"/>
    <n v="243.4"/>
    <n v="973.6"/>
    <n v="1217"/>
    <n v="876.24"/>
    <n v="3504.96"/>
    <n v="4381.2"/>
  </r>
  <r>
    <n v="92"/>
    <x v="20"/>
    <n v="7"/>
    <x v="38"/>
    <n v="2634"/>
    <n v="3.6"/>
    <n v="0.127"/>
    <n v="0.35"/>
    <n v="0.52300000000000002"/>
    <n v="334.51800000000003"/>
    <n v="921.89999999999986"/>
    <n v="1377.5820000000001"/>
    <n v="1204.2648000000002"/>
    <n v="3318.8399999999997"/>
    <n v="4959.2952000000005"/>
  </r>
  <r>
    <n v="93"/>
    <x v="4"/>
    <n v="9"/>
    <x v="38"/>
    <n v="2276"/>
    <n v="3.6"/>
    <n v="0.15"/>
    <n v="0.35"/>
    <n v="0.5"/>
    <n v="341.4"/>
    <n v="796.6"/>
    <n v="1138"/>
    <n v="1229.04"/>
    <n v="2867.76"/>
    <n v="4096.8"/>
  </r>
  <r>
    <n v="94"/>
    <x v="0"/>
    <n v="1"/>
    <x v="39"/>
    <n v="3984"/>
    <n v="3.6"/>
    <n v="0"/>
    <n v="1"/>
    <n v="0"/>
    <n v="0"/>
    <n v="3984"/>
    <n v="0"/>
    <n v="0"/>
    <n v="14342.4"/>
    <n v="0"/>
  </r>
  <r>
    <n v="95"/>
    <x v="24"/>
    <n v="42"/>
    <x v="40"/>
    <n v="3161"/>
    <n v="3.3"/>
    <n v="0.08"/>
    <n v="0.42"/>
    <n v="0.5"/>
    <n v="252.88"/>
    <n v="1327.62"/>
    <n v="1580.5"/>
    <n v="834.50399999999991"/>
    <n v="4381.1459999999997"/>
    <n v="5215.6499999999996"/>
  </r>
  <r>
    <n v="96"/>
    <x v="25"/>
    <n v="28"/>
    <x v="40"/>
    <n v="2321"/>
    <n v="3.3"/>
    <n v="0.25"/>
    <n v="0.35"/>
    <n v="0.4"/>
    <n v="580.25"/>
    <n v="812.34999999999991"/>
    <n v="928.40000000000009"/>
    <n v="1914.8249999999998"/>
    <n v="2680.7549999999997"/>
    <n v="3063.7200000000003"/>
  </r>
  <r>
    <n v="97"/>
    <x v="5"/>
    <n v="16"/>
    <x v="41"/>
    <n v="3064"/>
    <n v="3.5"/>
    <n v="0"/>
    <n v="0.5"/>
    <n v="0.5"/>
    <n v="0"/>
    <n v="1532"/>
    <n v="1532"/>
    <n v="0"/>
    <n v="5362"/>
    <n v="5362"/>
  </r>
  <r>
    <n v="98"/>
    <x v="7"/>
    <n v="41"/>
    <x v="41"/>
    <n v="2061"/>
    <n v="3.3"/>
    <n v="0.05"/>
    <n v="0.35"/>
    <n v="0.6"/>
    <n v="103.05000000000001"/>
    <n v="721.35000000000014"/>
    <n v="1236.5999999999999"/>
    <n v="340.065"/>
    <n v="2380.4550000000004"/>
    <n v="4080.7799999999993"/>
  </r>
  <r>
    <n v="99"/>
    <x v="12"/>
    <n v="30"/>
    <x v="41"/>
    <n v="3383"/>
    <n v="3.3"/>
    <n v="0.05"/>
    <n v="0.35"/>
    <n v="0.6"/>
    <n v="169.15"/>
    <n v="1184.05"/>
    <n v="2029.8"/>
    <n v="558.19499999999994"/>
    <n v="3907.3649999999998"/>
    <n v="6698.3399999999992"/>
  </r>
  <r>
    <n v="100"/>
    <x v="2"/>
    <n v="33"/>
    <x v="41"/>
    <n v="1984"/>
    <n v="3.3"/>
    <n v="0.05"/>
    <n v="0.35"/>
    <n v="0.6"/>
    <n v="99.2"/>
    <n v="694.40000000000009"/>
    <n v="1190.3999999999999"/>
    <n v="327.36"/>
    <n v="2291.52"/>
    <n v="3928.3199999999993"/>
  </r>
  <r>
    <n v="101"/>
    <x v="13"/>
    <n v="26"/>
    <x v="41"/>
    <n v="1780"/>
    <n v="3.3"/>
    <n v="0.05"/>
    <n v="0.35"/>
    <n v="0.6"/>
    <n v="89"/>
    <n v="623"/>
    <n v="1068"/>
    <n v="293.7"/>
    <n v="2055.9"/>
    <n v="3524.3999999999996"/>
  </r>
  <r>
    <n v="102"/>
    <x v="19"/>
    <n v="39"/>
    <x v="41"/>
    <n v="1877"/>
    <n v="3.3"/>
    <n v="0.05"/>
    <n v="0.35"/>
    <n v="0.6"/>
    <n v="93.850000000000009"/>
    <n v="656.94999999999993"/>
    <n v="1126.2"/>
    <n v="309.70499999999998"/>
    <n v="2167.9349999999995"/>
    <n v="3716.46"/>
  </r>
  <r>
    <n v="103"/>
    <x v="27"/>
    <n v="47"/>
    <x v="41"/>
    <n v="1469"/>
    <n v="3.3"/>
    <n v="0.05"/>
    <n v="0.35"/>
    <n v="0.6"/>
    <n v="73.45"/>
    <n v="514.15"/>
    <n v="881.4"/>
    <n v="242.38499999999999"/>
    <n v="1696.6949999999999"/>
    <n v="2908.62"/>
  </r>
  <r>
    <n v="104"/>
    <x v="15"/>
    <n v="17"/>
    <x v="41"/>
    <n v="1459"/>
    <n v="3.3"/>
    <n v="0.05"/>
    <n v="0.25"/>
    <n v="0.7"/>
    <n v="72.95"/>
    <n v="364.75000000000006"/>
    <n v="1021.3"/>
    <n v="240.73499999999999"/>
    <n v="1203.6750000000002"/>
    <n v="3370.2899999999995"/>
  </r>
  <r>
    <n v="105"/>
    <x v="26"/>
    <n v="22"/>
    <x v="42"/>
    <n v="2385"/>
    <n v="3.3"/>
    <n v="0.05"/>
    <n v="0.35"/>
    <n v="0.6"/>
    <n v="119.25"/>
    <n v="834.75"/>
    <n v="1431"/>
    <n v="393.52499999999998"/>
    <n v="2754.6749999999997"/>
    <n v="4722.3"/>
  </r>
  <r>
    <n v="106"/>
    <x v="8"/>
    <n v="49"/>
    <x v="42"/>
    <n v="1902"/>
    <n v="3.3"/>
    <n v="0.05"/>
    <n v="0.35"/>
    <n v="0.6"/>
    <n v="95.100000000000009"/>
    <n v="665.69999999999993"/>
    <n v="1141.2"/>
    <n v="313.83"/>
    <n v="2196.8099999999995"/>
    <n v="3765.96"/>
  </r>
  <r>
    <n v="107"/>
    <x v="3"/>
    <n v="2"/>
    <x v="43"/>
    <n v="3486"/>
    <n v="3.2"/>
    <n v="0"/>
    <n v="1"/>
    <n v="0"/>
    <n v="0"/>
    <n v="3486"/>
    <n v="0"/>
    <n v="0"/>
    <n v="11155.2"/>
    <n v="0"/>
  </r>
  <r>
    <n v="108"/>
    <x v="22"/>
    <n v="35"/>
    <x v="43"/>
    <n v="1481"/>
    <n v="3.2"/>
    <n v="0.05"/>
    <n v="0.45"/>
    <n v="0.49999999999999994"/>
    <n v="74.05"/>
    <n v="666.45000000000016"/>
    <n v="740.49999999999989"/>
    <n v="236.96"/>
    <n v="2132.6400000000008"/>
    <n v="2369.6"/>
  </r>
  <r>
    <n v="109"/>
    <x v="30"/>
    <n v="43"/>
    <x v="43"/>
    <n v="1625"/>
    <n v="3.1"/>
    <n v="0.05"/>
    <n v="0.35"/>
    <n v="0.6"/>
    <n v="81.25"/>
    <n v="568.75"/>
    <n v="975"/>
    <n v="251.875"/>
    <n v="1763.125"/>
    <n v="3022.5"/>
  </r>
  <r>
    <n v="110"/>
    <x v="0"/>
    <n v="1"/>
    <x v="44"/>
    <n v="3998"/>
    <n v="3.8"/>
    <n v="0"/>
    <n v="1"/>
    <n v="0"/>
    <n v="0"/>
    <n v="3998"/>
    <n v="0"/>
    <n v="0"/>
    <n v="15192.4"/>
    <n v="0"/>
  </r>
  <r>
    <n v="111"/>
    <x v="1"/>
    <n v="3"/>
    <x v="44"/>
    <n v="3399"/>
    <n v="3.4"/>
    <n v="0"/>
    <n v="1"/>
    <n v="0"/>
    <n v="0"/>
    <n v="3399"/>
    <n v="0"/>
    <n v="0"/>
    <n v="11556.6"/>
    <n v="0"/>
  </r>
  <r>
    <n v="112"/>
    <x v="21"/>
    <n v="37"/>
    <x v="44"/>
    <n v="1971"/>
    <n v="4"/>
    <n v="0.2"/>
    <n v="0.35"/>
    <n v="0.45000000000000007"/>
    <n v="394.20000000000005"/>
    <n v="689.84999999999968"/>
    <n v="886.95000000000016"/>
    <n v="1576.8000000000002"/>
    <n v="2759.3999999999987"/>
    <n v="3547.8000000000006"/>
  </r>
  <r>
    <n v="113"/>
    <x v="18"/>
    <n v="8"/>
    <x v="44"/>
    <n v="2433"/>
    <n v="4"/>
    <n v="0.1"/>
    <n v="0.4"/>
    <n v="0.5"/>
    <n v="243.3"/>
    <n v="973.2"/>
    <n v="1216.5"/>
    <n v="973.2"/>
    <n v="3892.8"/>
    <n v="4866"/>
  </r>
  <r>
    <n v="114"/>
    <x v="20"/>
    <n v="7"/>
    <x v="44"/>
    <n v="2460"/>
    <n v="4"/>
    <n v="0.1"/>
    <n v="0.4"/>
    <n v="0.5"/>
    <n v="246"/>
    <n v="984"/>
    <n v="1230"/>
    <n v="984"/>
    <n v="3936"/>
    <n v="4920"/>
  </r>
  <r>
    <n v="115"/>
    <x v="4"/>
    <n v="9"/>
    <x v="44"/>
    <n v="2209"/>
    <n v="3.7"/>
    <n v="0.15"/>
    <n v="0.35"/>
    <n v="0.5"/>
    <n v="331.34999999999997"/>
    <n v="773.15000000000009"/>
    <n v="1104.5"/>
    <n v="1225.9949999999999"/>
    <n v="2860.6550000000007"/>
    <n v="4086.65"/>
  </r>
  <r>
    <n v="116"/>
    <x v="24"/>
    <n v="42"/>
    <x v="45"/>
    <n v="3008"/>
    <n v="3.54"/>
    <n v="0.08"/>
    <n v="0.42"/>
    <n v="0.5"/>
    <n v="240.64000000000001"/>
    <n v="1263.3599999999999"/>
    <n v="1504"/>
    <n v="851.86560000000009"/>
    <n v="4472.2943999999998"/>
    <n v="5324.16"/>
  </r>
  <r>
    <n v="117"/>
    <x v="25"/>
    <n v="28"/>
    <x v="46"/>
    <n v="2517"/>
    <n v="3.47"/>
    <n v="0.25"/>
    <n v="0.35"/>
    <n v="0.4"/>
    <n v="629.25"/>
    <n v="880.94999999999982"/>
    <n v="1006.8000000000001"/>
    <n v="2183.4974999999999"/>
    <n v="3056.8964999999994"/>
    <n v="3493.5960000000005"/>
  </r>
  <r>
    <n v="118"/>
    <x v="5"/>
    <n v="16"/>
    <x v="47"/>
    <n v="2566"/>
    <n v="4.2"/>
    <n v="0"/>
    <n v="0.5"/>
    <n v="0.5"/>
    <n v="0"/>
    <n v="1283"/>
    <n v="1283"/>
    <n v="0"/>
    <n v="5388.6"/>
    <n v="5388.6"/>
  </r>
  <r>
    <n v="119"/>
    <x v="7"/>
    <n v="41"/>
    <x v="47"/>
    <n v="2806"/>
    <n v="4.2"/>
    <n v="0.05"/>
    <n v="0.35"/>
    <n v="0.6"/>
    <n v="140.30000000000001"/>
    <n v="982.10000000000014"/>
    <n v="1683.6"/>
    <n v="589.2600000000001"/>
    <n v="4124.8200000000006"/>
    <n v="7071.12"/>
  </r>
  <r>
    <n v="120"/>
    <x v="26"/>
    <n v="22"/>
    <x v="47"/>
    <n v="2287"/>
    <n v="4.2"/>
    <n v="0.05"/>
    <n v="0.35"/>
    <n v="0.6"/>
    <n v="114.35000000000001"/>
    <n v="800.44999999999993"/>
    <n v="1372.2"/>
    <n v="480.27000000000004"/>
    <n v="3361.89"/>
    <n v="5763.2400000000007"/>
  </r>
  <r>
    <n v="121"/>
    <x v="12"/>
    <n v="30"/>
    <x v="47"/>
    <n v="2364"/>
    <n v="4"/>
    <n v="0.05"/>
    <n v="0.35"/>
    <n v="0.6"/>
    <n v="118.2"/>
    <n v="827.40000000000009"/>
    <n v="1418.3999999999999"/>
    <n v="472.8"/>
    <n v="3309.6000000000004"/>
    <n v="5673.5999999999995"/>
  </r>
  <r>
    <n v="122"/>
    <x v="2"/>
    <n v="33"/>
    <x v="47"/>
    <n v="2315"/>
    <n v="4"/>
    <n v="0.05"/>
    <n v="0.35"/>
    <n v="0.6"/>
    <n v="115.75"/>
    <n v="810.25"/>
    <n v="1389"/>
    <n v="463"/>
    <n v="3241"/>
    <n v="5556"/>
  </r>
  <r>
    <n v="123"/>
    <x v="11"/>
    <n v="24"/>
    <x v="47"/>
    <n v="2258"/>
    <n v="4"/>
    <n v="0.13"/>
    <n v="0.37"/>
    <n v="0.5"/>
    <n v="293.54000000000002"/>
    <n v="835.46"/>
    <n v="1129"/>
    <n v="1174.1600000000001"/>
    <n v="3341.84"/>
    <n v="4516"/>
  </r>
  <r>
    <n v="124"/>
    <x v="13"/>
    <n v="26"/>
    <x v="47"/>
    <n v="2482"/>
    <n v="4"/>
    <n v="0.05"/>
    <n v="0.35"/>
    <n v="0.6"/>
    <n v="124.10000000000001"/>
    <n v="868.69999999999993"/>
    <n v="1489.2"/>
    <n v="496.40000000000003"/>
    <n v="3474.7999999999997"/>
    <n v="5956.8"/>
  </r>
  <r>
    <n v="125"/>
    <x v="19"/>
    <n v="39"/>
    <x v="47"/>
    <n v="1369"/>
    <n v="4"/>
    <n v="0.05"/>
    <n v="0.25"/>
    <n v="0.7"/>
    <n v="68.45"/>
    <n v="342.25000000000006"/>
    <n v="958.3"/>
    <n v="273.8"/>
    <n v="1369.0000000000002"/>
    <n v="3833.2"/>
  </r>
  <r>
    <n v="126"/>
    <x v="27"/>
    <n v="47"/>
    <x v="47"/>
    <n v="1871"/>
    <n v="4.2"/>
    <n v="0.05"/>
    <n v="0.35"/>
    <n v="0.6"/>
    <n v="93.550000000000011"/>
    <n v="654.85000000000014"/>
    <n v="1122.5999999999999"/>
    <n v="392.91000000000008"/>
    <n v="2750.3700000000008"/>
    <n v="4714.92"/>
  </r>
  <r>
    <n v="127"/>
    <x v="15"/>
    <n v="17"/>
    <x v="47"/>
    <n v="2072"/>
    <n v="4"/>
    <n v="0.05"/>
    <n v="0.35"/>
    <n v="0.6"/>
    <n v="103.60000000000001"/>
    <n v="725.19999999999993"/>
    <n v="1243.2"/>
    <n v="414.40000000000003"/>
    <n v="2900.7999999999997"/>
    <n v="4972.8"/>
  </r>
  <r>
    <n v="128"/>
    <x v="8"/>
    <n v="49"/>
    <x v="47"/>
    <n v="2534"/>
    <n v="4.2"/>
    <n v="0.05"/>
    <n v="0.35"/>
    <n v="0.6"/>
    <n v="126.7"/>
    <n v="886.90000000000009"/>
    <n v="1520.3999999999999"/>
    <n v="532.14"/>
    <n v="3724.9800000000005"/>
    <n v="6385.6799999999994"/>
  </r>
  <r>
    <n v="129"/>
    <x v="30"/>
    <n v="43"/>
    <x v="48"/>
    <n v="1491"/>
    <n v="3"/>
    <n v="0.05"/>
    <n v="0.35"/>
    <n v="0.6"/>
    <n v="74.55"/>
    <n v="521.85"/>
    <n v="894.6"/>
    <n v="223.64999999999998"/>
    <n v="1565.5500000000002"/>
    <n v="2683.8"/>
  </r>
  <r>
    <n v="130"/>
    <x v="27"/>
    <n v="47"/>
    <x v="48"/>
    <n v="9"/>
    <n v="3"/>
    <n v="0.05"/>
    <n v="0.35"/>
    <n v="0.6"/>
    <n v="0.45"/>
    <n v="3.1500000000000004"/>
    <n v="5.3999999999999995"/>
    <n v="1.35"/>
    <n v="9.4500000000000011"/>
    <n v="16.2"/>
  </r>
  <r>
    <n v="131"/>
    <x v="31"/>
    <n v="13"/>
    <x v="48"/>
    <n v="79"/>
    <n v="3"/>
    <n v="0.05"/>
    <n v="0.35"/>
    <n v="0.6"/>
    <n v="3.95"/>
    <n v="27.650000000000002"/>
    <n v="47.4"/>
    <n v="11.850000000000001"/>
    <n v="82.95"/>
    <n v="142.19999999999999"/>
  </r>
  <r>
    <n v="132"/>
    <x v="25"/>
    <n v="28"/>
    <x v="49"/>
    <n v="1847"/>
    <n v="4.3"/>
    <n v="0.15"/>
    <n v="0.35"/>
    <n v="0.5"/>
    <n v="277.05"/>
    <n v="646.45000000000005"/>
    <n v="923.5"/>
    <n v="1191.3150000000001"/>
    <n v="2779.7350000000001"/>
    <n v="3971.0499999999997"/>
  </r>
  <r>
    <n v="133"/>
    <x v="12"/>
    <n v="30"/>
    <x v="49"/>
    <n v="3862"/>
    <n v="4.3"/>
    <n v="0.15"/>
    <n v="0.35"/>
    <n v="0.5"/>
    <n v="579.29999999999995"/>
    <n v="1351.7"/>
    <n v="1931"/>
    <n v="2490.9899999999998"/>
    <n v="5812.31"/>
    <n v="8303.2999999999993"/>
  </r>
  <r>
    <n v="134"/>
    <x v="2"/>
    <n v="33"/>
    <x v="49"/>
    <n v="2180"/>
    <n v="4.3"/>
    <n v="0.1"/>
    <n v="0.4"/>
    <n v="0.5"/>
    <n v="218"/>
    <n v="872"/>
    <n v="1090"/>
    <n v="937.4"/>
    <n v="3749.6"/>
    <n v="4687"/>
  </r>
  <r>
    <n v="135"/>
    <x v="13"/>
    <n v="26"/>
    <x v="49"/>
    <n v="4200"/>
    <n v="4.3"/>
    <n v="0.1"/>
    <n v="0.4"/>
    <n v="0.5"/>
    <n v="420"/>
    <n v="1680"/>
    <n v="2100"/>
    <n v="1806"/>
    <n v="7224"/>
    <n v="9030"/>
  </r>
  <r>
    <n v="136"/>
    <x v="19"/>
    <n v="39"/>
    <x v="49"/>
    <n v="1846"/>
    <n v="4.3"/>
    <n v="0.1"/>
    <n v="0.4"/>
    <n v="0.5"/>
    <n v="184.60000000000002"/>
    <n v="738.4"/>
    <n v="923"/>
    <n v="793.78000000000009"/>
    <n v="3175.12"/>
    <n v="3968.8999999999996"/>
  </r>
  <r>
    <n v="137"/>
    <x v="27"/>
    <n v="47"/>
    <x v="49"/>
    <n v="1444"/>
    <n v="4.2"/>
    <n v="0.1"/>
    <n v="0.4"/>
    <n v="0.5"/>
    <n v="144.4"/>
    <n v="577.6"/>
    <n v="722"/>
    <n v="606.48"/>
    <n v="2425.92"/>
    <n v="3032.4"/>
  </r>
  <r>
    <n v="138"/>
    <x v="15"/>
    <n v="17"/>
    <x v="49"/>
    <n v="2287"/>
    <n v="4.3"/>
    <n v="0.1"/>
    <n v="0.4"/>
    <n v="0.5"/>
    <n v="228.70000000000002"/>
    <n v="914.8"/>
    <n v="1143.5"/>
    <n v="983.41000000000008"/>
    <n v="3933.6399999999994"/>
    <n v="4917.05"/>
  </r>
  <r>
    <n v="139"/>
    <x v="8"/>
    <n v="49"/>
    <x v="49"/>
    <n v="2525"/>
    <n v="4.3"/>
    <n v="0.1"/>
    <n v="0.4"/>
    <n v="0.5"/>
    <n v="252.5"/>
    <n v="1010"/>
    <n v="1262.5"/>
    <n v="1085.75"/>
    <n v="4343"/>
    <n v="5428.75"/>
  </r>
  <r>
    <n v="140"/>
    <x v="22"/>
    <n v="35"/>
    <x v="50"/>
    <n v="1898"/>
    <n v="3.4"/>
    <n v="0.05"/>
    <n v="0.45"/>
    <n v="0.49999999999999994"/>
    <n v="94.9"/>
    <n v="854.10000000000014"/>
    <n v="948.99999999999989"/>
    <n v="322.66000000000003"/>
    <n v="2903.9400000000005"/>
    <n v="3226.5999999999995"/>
  </r>
  <r>
    <n v="141"/>
    <x v="21"/>
    <n v="37"/>
    <x v="51"/>
    <n v="2074"/>
    <n v="3.4"/>
    <n v="0.2"/>
    <n v="0.35"/>
    <n v="0.45000000000000007"/>
    <n v="414.8"/>
    <n v="725.89999999999986"/>
    <n v="933.30000000000018"/>
    <n v="1410.32"/>
    <n v="2468.0599999999995"/>
    <n v="3173.2200000000007"/>
  </r>
  <r>
    <n v="142"/>
    <x v="1"/>
    <n v="3"/>
    <x v="52"/>
    <n v="3236"/>
    <n v="3.4"/>
    <n v="0"/>
    <n v="1"/>
    <n v="0"/>
    <n v="0"/>
    <n v="3236"/>
    <n v="0"/>
    <n v="0"/>
    <n v="11002.4"/>
    <n v="0"/>
  </r>
  <r>
    <n v="143"/>
    <x v="20"/>
    <n v="7"/>
    <x v="52"/>
    <n v="2348"/>
    <n v="3.5"/>
    <n v="0.1"/>
    <n v="0.4"/>
    <n v="0.5"/>
    <n v="234.8"/>
    <n v="939.2"/>
    <n v="1174"/>
    <n v="821.80000000000007"/>
    <n v="3287.2000000000003"/>
    <n v="4109"/>
  </r>
  <r>
    <n v="144"/>
    <x v="1"/>
    <n v="3"/>
    <x v="53"/>
    <n v="3414"/>
    <n v="4"/>
    <n v="0"/>
    <n v="1"/>
    <n v="0"/>
    <n v="0"/>
    <n v="3414"/>
    <n v="0"/>
    <n v="0"/>
    <n v="13656"/>
    <n v="0"/>
  </r>
  <r>
    <n v="145"/>
    <x v="18"/>
    <n v="8"/>
    <x v="52"/>
    <n v="2825"/>
    <n v="3.09"/>
    <n v="0.1"/>
    <n v="0.4"/>
    <n v="0.5"/>
    <n v="282.5"/>
    <n v="1130"/>
    <n v="1412.5"/>
    <n v="872.92499999999995"/>
    <n v="3491.7"/>
    <n v="4364.625"/>
  </r>
  <r>
    <n v="146"/>
    <x v="11"/>
    <n v="24"/>
    <x v="52"/>
    <n v="1648"/>
    <n v="4.2"/>
    <n v="0.1"/>
    <n v="0.4"/>
    <n v="0.5"/>
    <n v="164.8"/>
    <n v="659.2"/>
    <n v="824"/>
    <n v="692.16000000000008"/>
    <n v="2768.6400000000003"/>
    <n v="3460.8"/>
  </r>
  <r>
    <n v="147"/>
    <x v="20"/>
    <n v="7"/>
    <x v="52"/>
    <n v="2009"/>
    <n v="4"/>
    <n v="0.15"/>
    <n v="0.35"/>
    <n v="0.5"/>
    <n v="301.34999999999997"/>
    <n v="703.15000000000009"/>
    <n v="1004.5"/>
    <n v="1205.3999999999999"/>
    <n v="2812.6000000000004"/>
    <n v="4018"/>
  </r>
  <r>
    <n v="148"/>
    <x v="32"/>
    <n v="44"/>
    <x v="52"/>
    <n v="639"/>
    <n v="3"/>
    <n v="0.15"/>
    <n v="0.35"/>
    <n v="0.5"/>
    <n v="95.85"/>
    <n v="223.65"/>
    <n v="319.5"/>
    <n v="287.54999999999995"/>
    <n v="670.95"/>
    <n v="958.5"/>
  </r>
  <r>
    <n v="149"/>
    <x v="18"/>
    <n v="8"/>
    <x v="54"/>
    <n v="2413"/>
    <n v="3.3"/>
    <n v="0.1"/>
    <n v="0.4"/>
    <n v="0.5"/>
    <n v="241.3"/>
    <n v="965.2"/>
    <n v="1206.5"/>
    <n v="796.29"/>
    <n v="3185.16"/>
    <n v="3981.45"/>
  </r>
  <r>
    <n v="150"/>
    <x v="0"/>
    <n v="1"/>
    <x v="54"/>
    <n v="3257"/>
    <n v="4.3"/>
    <n v="0"/>
    <n v="1"/>
    <n v="0"/>
    <n v="0"/>
    <n v="3257"/>
    <n v="0"/>
    <n v="0"/>
    <n v="14005.099999999999"/>
    <n v="0"/>
  </r>
  <r>
    <n v="151"/>
    <x v="4"/>
    <n v="9"/>
    <x v="54"/>
    <n v="2808"/>
    <n v="4.0999999999999996"/>
    <n v="0.15"/>
    <n v="0.35"/>
    <n v="0.5"/>
    <n v="421.2"/>
    <n v="982.8"/>
    <n v="1404"/>
    <n v="1726.9199999999998"/>
    <n v="4029.4799999999996"/>
    <n v="5756.4"/>
  </r>
  <r>
    <n v="152"/>
    <x v="24"/>
    <n v="42"/>
    <x v="55"/>
    <n v="2516"/>
    <n v="3.3"/>
    <n v="0.08"/>
    <n v="0.42"/>
    <n v="0.5"/>
    <n v="201.28"/>
    <n v="1056.72"/>
    <n v="1258"/>
    <n v="664.22399999999993"/>
    <n v="3487.1759999999999"/>
    <n v="4151.3999999999996"/>
  </r>
  <r>
    <n v="153"/>
    <x v="3"/>
    <n v="2"/>
    <x v="55"/>
    <n v="2926"/>
    <n v="4.1500000000000004"/>
    <n v="0"/>
    <n v="1"/>
    <n v="0"/>
    <n v="0"/>
    <n v="2926"/>
    <n v="0"/>
    <n v="0"/>
    <n v="12142.900000000001"/>
    <n v="0"/>
  </r>
  <r>
    <n v="154"/>
    <x v="4"/>
    <n v="9"/>
    <x v="56"/>
    <n v="2862"/>
    <n v="3"/>
    <n v="0.12"/>
    <n v="0.37"/>
    <n v="0.51"/>
    <n v="343.44"/>
    <n v="1058.9399999999998"/>
    <n v="1459.6200000000001"/>
    <n v="1030.32"/>
    <n v="3176.8199999999997"/>
    <n v="4378.8600000000006"/>
  </r>
  <r>
    <n v="155"/>
    <x v="21"/>
    <n v="37"/>
    <x v="56"/>
    <n v="1889"/>
    <n v="3.7"/>
    <n v="0.15"/>
    <n v="0.35"/>
    <n v="0.5"/>
    <n v="283.34999999999997"/>
    <n v="661.15000000000009"/>
    <n v="944.5"/>
    <n v="1048.395"/>
    <n v="2446.2550000000006"/>
    <n v="3494.65"/>
  </r>
  <r>
    <n v="156"/>
    <x v="25"/>
    <n v="28"/>
    <x v="57"/>
    <n v="2607"/>
    <n v="3"/>
    <n v="0.25"/>
    <n v="0.35"/>
    <n v="0.4"/>
    <n v="651.75"/>
    <n v="912.45"/>
    <n v="1042.8"/>
    <n v="1955.25"/>
    <n v="2737.3500000000004"/>
    <n v="3128.3999999999996"/>
  </r>
  <r>
    <n v="157"/>
    <x v="6"/>
    <n v="14"/>
    <x v="58"/>
    <n v="2737"/>
    <n v="3.3"/>
    <n v="0.2"/>
    <n v="0.4"/>
    <n v="0.4"/>
    <n v="547.4"/>
    <n v="1094.8000000000002"/>
    <n v="1094.8"/>
    <n v="1806.4199999999998"/>
    <n v="3612.8400000000006"/>
    <n v="3612.8399999999997"/>
  </r>
  <r>
    <n v="158"/>
    <x v="5"/>
    <n v="16"/>
    <x v="59"/>
    <n v="1905"/>
    <n v="3.2"/>
    <n v="0"/>
    <n v="0.5"/>
    <n v="0.5"/>
    <n v="0"/>
    <n v="952.5"/>
    <n v="952.5"/>
    <n v="0"/>
    <n v="3048"/>
    <n v="3048"/>
  </r>
  <r>
    <n v="159"/>
    <x v="7"/>
    <n v="41"/>
    <x v="59"/>
    <n v="2397"/>
    <n v="3.2"/>
    <n v="0.02"/>
    <n v="0.37"/>
    <n v="0.61"/>
    <n v="47.94"/>
    <n v="886.88999999999987"/>
    <n v="1462.17"/>
    <n v="153.40799999999999"/>
    <n v="2838.0479999999998"/>
    <n v="4678.9440000000004"/>
  </r>
  <r>
    <n v="160"/>
    <x v="26"/>
    <n v="22"/>
    <x v="59"/>
    <n v="2047"/>
    <n v="3.2"/>
    <n v="0.13"/>
    <n v="0.37"/>
    <n v="0.5"/>
    <n v="266.11"/>
    <n v="757.39"/>
    <n v="1023.5"/>
    <n v="851.55200000000013"/>
    <n v="2423.6480000000001"/>
    <n v="3275.2000000000003"/>
  </r>
  <r>
    <n v="161"/>
    <x v="12"/>
    <n v="30"/>
    <x v="59"/>
    <n v="1921"/>
    <n v="3.2"/>
    <n v="0.13"/>
    <n v="0.37"/>
    <n v="0.5"/>
    <n v="249.73000000000002"/>
    <n v="710.77"/>
    <n v="960.5"/>
    <n v="799.13600000000008"/>
    <n v="2274.4639999999999"/>
    <n v="3073.6000000000004"/>
  </r>
  <r>
    <n v="162"/>
    <x v="2"/>
    <n v="33"/>
    <x v="59"/>
    <n v="1931"/>
    <n v="3.2"/>
    <n v="0.13"/>
    <n v="0.37"/>
    <n v="0.5"/>
    <n v="251.03"/>
    <n v="714.47"/>
    <n v="965.5"/>
    <n v="803.29600000000005"/>
    <n v="2286.3040000000001"/>
    <n v="3089.6000000000004"/>
  </r>
  <r>
    <n v="163"/>
    <x v="11"/>
    <n v="24"/>
    <x v="59"/>
    <n v="1738"/>
    <n v="3.2"/>
    <n v="0.13"/>
    <n v="0.37"/>
    <n v="0.5"/>
    <n v="225.94"/>
    <n v="643.05999999999995"/>
    <n v="869"/>
    <n v="723.00800000000004"/>
    <n v="2057.7919999999999"/>
    <n v="2780.8"/>
  </r>
  <r>
    <n v="164"/>
    <x v="13"/>
    <n v="26"/>
    <x v="59"/>
    <n v="2229"/>
    <n v="3.2"/>
    <n v="0.13"/>
    <n v="0.37"/>
    <n v="0.5"/>
    <n v="289.77"/>
    <n v="824.73"/>
    <n v="1114.5"/>
    <n v="927.26400000000001"/>
    <n v="2639.1360000000004"/>
    <n v="3566.4"/>
  </r>
  <r>
    <n v="165"/>
    <x v="19"/>
    <n v="39"/>
    <x v="59"/>
    <n v="1791"/>
    <n v="3.2"/>
    <n v="0.13"/>
    <n v="0.37"/>
    <n v="0.5"/>
    <n v="232.83"/>
    <n v="662.67"/>
    <n v="895.5"/>
    <n v="745.05600000000004"/>
    <n v="2120.5439999999999"/>
    <n v="2865.6000000000004"/>
  </r>
  <r>
    <n v="166"/>
    <x v="30"/>
    <n v="43"/>
    <x v="59"/>
    <n v="1844"/>
    <n v="3.2"/>
    <n v="0.05"/>
    <n v="0.35"/>
    <n v="0.6"/>
    <n v="92.2"/>
    <n v="645.40000000000009"/>
    <n v="1106.3999999999999"/>
    <n v="295.04000000000002"/>
    <n v="2065.2800000000002"/>
    <n v="3540.4799999999996"/>
  </r>
  <r>
    <n v="167"/>
    <x v="15"/>
    <n v="17"/>
    <x v="59"/>
    <n v="1665"/>
    <n v="3.2"/>
    <n v="0.13"/>
    <n v="0.37"/>
    <n v="0.5"/>
    <n v="216.45000000000002"/>
    <n v="616.04999999999995"/>
    <n v="832.5"/>
    <n v="692.6400000000001"/>
    <n v="1971.36"/>
    <n v="2664"/>
  </r>
  <r>
    <n v="168"/>
    <x v="8"/>
    <n v="49"/>
    <x v="59"/>
    <n v="2039"/>
    <n v="3.2"/>
    <n v="0.13"/>
    <n v="0.37"/>
    <n v="0.5"/>
    <n v="265.07"/>
    <n v="754.43000000000006"/>
    <n v="1019.5"/>
    <n v="848.22400000000005"/>
    <n v="2414.1760000000004"/>
    <n v="3262.4"/>
  </r>
  <r>
    <n v="169"/>
    <x v="24"/>
    <n v="42"/>
    <x v="59"/>
    <n v="2142"/>
    <n v="3.13"/>
    <n v="0.08"/>
    <n v="0.42019000000000001"/>
    <n v="0.49981000000000003"/>
    <n v="171.36"/>
    <n v="900.04697999999996"/>
    <n v="1070.59302"/>
    <n v="536.35680000000002"/>
    <n v="2817.1470473999998"/>
    <n v="3350.9561525999998"/>
  </r>
  <r>
    <n v="170"/>
    <x v="27"/>
    <n v="47"/>
    <x v="59"/>
    <n v="662"/>
    <n v="3"/>
    <n v="0.1"/>
    <n v="0.4"/>
    <n v="0.5"/>
    <n v="66.2"/>
    <n v="264.8"/>
    <n v="331"/>
    <n v="198.60000000000002"/>
    <n v="794.40000000000009"/>
    <n v="993"/>
  </r>
  <r>
    <n v="171"/>
    <x v="0"/>
    <n v="1"/>
    <x v="60"/>
    <n v="6328"/>
    <n v="3.2"/>
    <n v="0"/>
    <n v="1"/>
    <n v="0"/>
    <n v="0"/>
    <n v="6328"/>
    <n v="0"/>
    <n v="0"/>
    <n v="20249.600000000002"/>
    <n v="0"/>
  </r>
  <r>
    <n v="172"/>
    <x v="7"/>
    <n v="41"/>
    <x v="60"/>
    <n v="1789"/>
    <n v="3.5"/>
    <n v="0.05"/>
    <n v="0.35"/>
    <n v="0.6"/>
    <n v="89.45"/>
    <n v="626.15000000000009"/>
    <n v="1073.3999999999999"/>
    <n v="313.07499999999999"/>
    <n v="2191.5250000000005"/>
    <n v="3756.8999999999996"/>
  </r>
  <r>
    <n v="173"/>
    <x v="5"/>
    <n v="16"/>
    <x v="61"/>
    <n v="2140"/>
    <n v="3.76"/>
    <n v="0"/>
    <n v="0.5"/>
    <n v="0.5"/>
    <n v="0"/>
    <n v="1070"/>
    <n v="1070"/>
    <n v="0"/>
    <n v="4023.2"/>
    <n v="4023.2"/>
  </r>
  <r>
    <n v="174"/>
    <x v="24"/>
    <n v="42"/>
    <x v="61"/>
    <n v="1222"/>
    <n v="3.76"/>
    <n v="0.1"/>
    <n v="0.4"/>
    <n v="0.5"/>
    <n v="122.2"/>
    <n v="488.8"/>
    <n v="611"/>
    <n v="459.47199999999998"/>
    <n v="1837.8879999999999"/>
    <n v="2297.3599999999997"/>
  </r>
  <r>
    <n v="175"/>
    <x v="25"/>
    <n v="28"/>
    <x v="62"/>
    <n v="2453"/>
    <n v="3.38"/>
    <n v="0.05"/>
    <n v="0.35"/>
    <n v="0.6"/>
    <n v="122.65"/>
    <n v="858.55000000000007"/>
    <n v="1471.8"/>
    <n v="414.55700000000002"/>
    <n v="2901.8990000000003"/>
    <n v="4974.6839999999993"/>
  </r>
  <r>
    <n v="176"/>
    <x v="12"/>
    <n v="30"/>
    <x v="62"/>
    <n v="2337"/>
    <n v="3.38"/>
    <n v="0.05"/>
    <n v="0.35"/>
    <n v="0.6"/>
    <n v="116.85000000000001"/>
    <n v="817.94999999999993"/>
    <n v="1402.2"/>
    <n v="394.95300000000003"/>
    <n v="2764.6709999999998"/>
    <n v="4739.4359999999997"/>
  </r>
  <r>
    <n v="177"/>
    <x v="2"/>
    <n v="33"/>
    <x v="62"/>
    <n v="2457"/>
    <n v="3.38"/>
    <n v="0.05"/>
    <n v="0.35"/>
    <n v="0.6"/>
    <n v="122.85000000000001"/>
    <n v="859.94999999999993"/>
    <n v="1474.2"/>
    <n v="415.233"/>
    <n v="2906.6309999999999"/>
    <n v="4982.7960000000003"/>
  </r>
  <r>
    <n v="178"/>
    <x v="13"/>
    <n v="26"/>
    <x v="62"/>
    <n v="3281"/>
    <n v="3.38"/>
    <n v="0.05"/>
    <n v="0.35"/>
    <n v="0.6"/>
    <n v="164.05"/>
    <n v="1148.3500000000001"/>
    <n v="1968.6"/>
    <n v="554.48900000000003"/>
    <n v="3881.4230000000002"/>
    <n v="6653.8679999999995"/>
  </r>
  <r>
    <n v="179"/>
    <x v="19"/>
    <n v="39"/>
    <x v="62"/>
    <n v="1862"/>
    <n v="3.38"/>
    <n v="0.05"/>
    <n v="0.35"/>
    <n v="0.6"/>
    <n v="93.100000000000009"/>
    <n v="651.69999999999993"/>
    <n v="1117.2"/>
    <n v="314.678"/>
    <n v="2202.7459999999996"/>
    <n v="3776.136"/>
  </r>
  <r>
    <n v="180"/>
    <x v="15"/>
    <n v="17"/>
    <x v="62"/>
    <n v="1879"/>
    <n v="3.38"/>
    <n v="0.05"/>
    <n v="0.35"/>
    <n v="0.6"/>
    <n v="93.95"/>
    <n v="657.65000000000009"/>
    <n v="1127.3999999999999"/>
    <n v="317.55099999999999"/>
    <n v="2222.8570000000004"/>
    <n v="3810.6119999999996"/>
  </r>
  <r>
    <n v="181"/>
    <x v="8"/>
    <n v="49"/>
    <x v="62"/>
    <n v="2393"/>
    <n v="3.38"/>
    <n v="0.05"/>
    <n v="0.35"/>
    <n v="0.6"/>
    <n v="119.65"/>
    <n v="837.55000000000007"/>
    <n v="1435.8"/>
    <n v="404.41700000000003"/>
    <n v="2830.9190000000003"/>
    <n v="4853.0039999999999"/>
  </r>
  <r>
    <n v="182"/>
    <x v="28"/>
    <n v="45"/>
    <x v="62"/>
    <n v="2209"/>
    <n v="3.38"/>
    <n v="0.05"/>
    <n v="0.35"/>
    <n v="0.6"/>
    <n v="110.45"/>
    <n v="773.15000000000009"/>
    <n v="1325.3999999999999"/>
    <n v="373.32099999999997"/>
    <n v="2613.2470000000003"/>
    <n v="4479.851999999999"/>
  </r>
  <r>
    <n v="183"/>
    <x v="31"/>
    <n v="13"/>
    <x v="63"/>
    <n v="1188"/>
    <n v="3"/>
    <n v="0.05"/>
    <n v="0.35"/>
    <n v="0.6"/>
    <n v="59.400000000000006"/>
    <n v="415.80000000000007"/>
    <n v="712.8"/>
    <n v="178.20000000000002"/>
    <n v="1247.4000000000001"/>
    <n v="2138.3999999999996"/>
  </r>
  <r>
    <n v="184"/>
    <x v="21"/>
    <n v="37"/>
    <x v="53"/>
    <n v="2390"/>
    <n v="3"/>
    <n v="0.12"/>
    <n v="0.4"/>
    <n v="0.48"/>
    <n v="286.8"/>
    <n v="956"/>
    <n v="1147.2"/>
    <n v="860.40000000000009"/>
    <n v="2868"/>
    <n v="3441.6000000000004"/>
  </r>
  <r>
    <n v="185"/>
    <x v="22"/>
    <n v="35"/>
    <x v="53"/>
    <n v="357"/>
    <n v="3.2"/>
    <n v="0.05"/>
    <n v="0.35"/>
    <n v="0.6"/>
    <n v="17.850000000000001"/>
    <n v="124.95000000000002"/>
    <n v="214.2"/>
    <n v="57.120000000000005"/>
    <n v="399.84000000000009"/>
    <n v="685.44"/>
  </r>
  <r>
    <n v="186"/>
    <x v="20"/>
    <n v="7"/>
    <x v="53"/>
    <n v="696"/>
    <n v="3.2"/>
    <n v="0.05"/>
    <n v="0.35"/>
    <n v="0.6"/>
    <n v="34.800000000000004"/>
    <n v="243.60000000000002"/>
    <n v="417.59999999999997"/>
    <n v="111.36000000000001"/>
    <n v="779.5200000000001"/>
    <n v="1336.32"/>
  </r>
  <r>
    <n v="187"/>
    <x v="3"/>
    <n v="2"/>
    <x v="64"/>
    <n v="3605"/>
    <n v="3"/>
    <n v="0"/>
    <n v="1"/>
    <n v="0"/>
    <n v="0"/>
    <n v="3605"/>
    <n v="0"/>
    <n v="0"/>
    <n v="10815"/>
    <n v="0"/>
  </r>
  <r>
    <n v="188"/>
    <x v="0"/>
    <n v="1"/>
    <x v="64"/>
    <n v="3326"/>
    <n v="3.2"/>
    <n v="0"/>
    <n v="1"/>
    <n v="0"/>
    <n v="0"/>
    <n v="3326"/>
    <n v="0"/>
    <n v="0"/>
    <n v="10643.2"/>
    <n v="0"/>
  </r>
  <r>
    <n v="189"/>
    <x v="18"/>
    <n v="8"/>
    <x v="64"/>
    <n v="2197"/>
    <n v="3.2"/>
    <n v="0.1"/>
    <n v="0.4"/>
    <n v="0.5"/>
    <n v="219.70000000000002"/>
    <n v="878.8"/>
    <n v="1098.5"/>
    <n v="703.04000000000008"/>
    <n v="2812.16"/>
    <n v="3515.2000000000003"/>
  </r>
  <r>
    <n v="190"/>
    <x v="23"/>
    <n v="38"/>
    <x v="65"/>
    <n v="3096"/>
    <n v="3"/>
    <n v="0.1"/>
    <n v="0.4"/>
    <n v="0.5"/>
    <n v="309.60000000000002"/>
    <n v="1238.4000000000001"/>
    <n v="1548"/>
    <n v="928.80000000000007"/>
    <n v="3715.2000000000003"/>
    <n v="4644"/>
  </r>
  <r>
    <n v="191"/>
    <x v="18"/>
    <n v="8"/>
    <x v="65"/>
    <n v="2452"/>
    <n v="3"/>
    <n v="0.15"/>
    <n v="0.4"/>
    <n v="0.44999999999999996"/>
    <n v="367.8"/>
    <n v="980.80000000000018"/>
    <n v="1103.3999999999999"/>
    <n v="1103.4000000000001"/>
    <n v="2942.4000000000005"/>
    <n v="3310.2"/>
  </r>
  <r>
    <n v="192"/>
    <x v="20"/>
    <n v="7"/>
    <x v="65"/>
    <n v="2004"/>
    <n v="3"/>
    <n v="0.1"/>
    <n v="0.4"/>
    <n v="0.5"/>
    <n v="200.4"/>
    <n v="801.6"/>
    <n v="1002"/>
    <n v="601.20000000000005"/>
    <n v="2404.8000000000002"/>
    <n v="3006"/>
  </r>
  <r>
    <n v="193"/>
    <x v="24"/>
    <n v="42"/>
    <x v="66"/>
    <n v="2447"/>
    <n v="2.77"/>
    <n v="0.08"/>
    <n v="0.42"/>
    <n v="0.5"/>
    <n v="195.76"/>
    <n v="1027.74"/>
    <n v="1223.5"/>
    <n v="542.25519999999995"/>
    <n v="2846.8398000000002"/>
    <n v="3389.0949999999998"/>
  </r>
  <r>
    <n v="194"/>
    <x v="22"/>
    <n v="35"/>
    <x v="67"/>
    <n v="2480"/>
    <n v="2.5"/>
    <n v="0.05"/>
    <n v="0.45"/>
    <n v="0.49999999999999994"/>
    <n v="124"/>
    <n v="1116.0000000000002"/>
    <n v="1239.9999999999998"/>
    <n v="310"/>
    <n v="2790.0000000000005"/>
    <n v="3099.9999999999995"/>
  </r>
  <r>
    <n v="195"/>
    <x v="7"/>
    <n v="41"/>
    <x v="68"/>
    <n v="2678"/>
    <n v="1.9"/>
    <n v="0.08"/>
    <n v="0.43"/>
    <n v="0.49000000000000005"/>
    <n v="214.24"/>
    <n v="1151.54"/>
    <n v="1312.22"/>
    <n v="407.05599999999998"/>
    <n v="2187.9259999999999"/>
    <n v="2493.2179999999998"/>
  </r>
  <r>
    <n v="196"/>
    <x v="25"/>
    <n v="28"/>
    <x v="68"/>
    <n v="1771"/>
    <n v="2.1"/>
    <n v="0.23"/>
    <n v="0.37"/>
    <n v="0.4"/>
    <n v="407.33000000000004"/>
    <n v="655.26999999999987"/>
    <n v="708.40000000000009"/>
    <n v="855.39300000000014"/>
    <n v="1376.0669999999998"/>
    <n v="1487.6400000000003"/>
  </r>
  <r>
    <n v="197"/>
    <x v="26"/>
    <n v="22"/>
    <x v="68"/>
    <n v="1969"/>
    <n v="1.9"/>
    <n v="0.03"/>
    <n v="0.37"/>
    <n v="0.6"/>
    <n v="59.07"/>
    <n v="728.53000000000009"/>
    <n v="1181.3999999999999"/>
    <n v="112.23299999999999"/>
    <n v="1384.2070000000001"/>
    <n v="2244.66"/>
  </r>
  <r>
    <n v="198"/>
    <x v="12"/>
    <n v="30"/>
    <x v="68"/>
    <n v="1874"/>
    <n v="1.9"/>
    <n v="0.03"/>
    <n v="0.37"/>
    <n v="0.6"/>
    <n v="56.22"/>
    <n v="693.38000000000011"/>
    <n v="1124.3999999999999"/>
    <n v="106.818"/>
    <n v="1317.4220000000003"/>
    <n v="2136.3599999999997"/>
  </r>
  <r>
    <n v="199"/>
    <x v="2"/>
    <n v="33"/>
    <x v="68"/>
    <n v="1677"/>
    <n v="1.9"/>
    <n v="0.03"/>
    <n v="0.27"/>
    <n v="0.7"/>
    <n v="50.309999999999995"/>
    <n v="452.79000000000013"/>
    <n v="1173.8999999999999"/>
    <n v="95.588999999999984"/>
    <n v="860.30100000000016"/>
    <n v="2230.41"/>
  </r>
  <r>
    <n v="200"/>
    <x v="33"/>
    <n v="40"/>
    <x v="68"/>
    <n v="1198"/>
    <n v="1.9"/>
    <n v="0.65"/>
    <n v="0.35"/>
    <n v="0"/>
    <n v="778.7"/>
    <n v="419.29999999999995"/>
    <n v="0"/>
    <n v="1479.53"/>
    <n v="796.66999999999985"/>
    <n v="0"/>
  </r>
  <r>
    <n v="201"/>
    <x v="34"/>
    <n v="21"/>
    <x v="68"/>
    <n v="835"/>
    <n v="1.9"/>
    <n v="0.15"/>
    <n v="0.35"/>
    <n v="0.5"/>
    <n v="125.25"/>
    <n v="292.25"/>
    <n v="417.5"/>
    <n v="237.97499999999999"/>
    <n v="555.27499999999998"/>
    <n v="793.25"/>
  </r>
  <r>
    <n v="202"/>
    <x v="11"/>
    <n v="24"/>
    <x v="68"/>
    <n v="1505"/>
    <n v="1.9"/>
    <n v="0.03"/>
    <n v="0.27"/>
    <n v="0.7"/>
    <n v="45.15"/>
    <n v="406.35"/>
    <n v="1053.5"/>
    <n v="85.784999999999997"/>
    <n v="772.06500000000005"/>
    <n v="2001.6499999999999"/>
  </r>
  <r>
    <n v="203"/>
    <x v="13"/>
    <n v="26"/>
    <x v="68"/>
    <n v="2608"/>
    <n v="1.9"/>
    <n v="0.03"/>
    <n v="0.37"/>
    <n v="0.6"/>
    <n v="78.239999999999995"/>
    <n v="964.96"/>
    <n v="1564.8"/>
    <n v="148.65599999999998"/>
    <n v="1833.424"/>
    <n v="2973.12"/>
  </r>
  <r>
    <n v="204"/>
    <x v="19"/>
    <n v="39"/>
    <x v="68"/>
    <n v="1416"/>
    <n v="1.9"/>
    <n v="0.03"/>
    <n v="0.37"/>
    <n v="0.6"/>
    <n v="42.48"/>
    <n v="523.91999999999996"/>
    <n v="849.6"/>
    <n v="80.711999999999989"/>
    <n v="995.44799999999987"/>
    <n v="1614.24"/>
  </r>
  <r>
    <n v="205"/>
    <x v="30"/>
    <n v="43"/>
    <x v="68"/>
    <n v="2439"/>
    <n v="1.9"/>
    <n v="0.1"/>
    <n v="0.3"/>
    <n v="0.60000000000000009"/>
    <n v="243.9"/>
    <n v="731.6999999999997"/>
    <n v="1463.4000000000003"/>
    <n v="463.40999999999997"/>
    <n v="1390.2299999999993"/>
    <n v="2780.4600000000005"/>
  </r>
  <r>
    <n v="206"/>
    <x v="4"/>
    <n v="9"/>
    <x v="68"/>
    <n v="2230"/>
    <n v="2"/>
    <n v="0.12"/>
    <n v="0.37"/>
    <n v="0.51"/>
    <n v="267.59999999999997"/>
    <n v="825.10000000000014"/>
    <n v="1137.3"/>
    <n v="535.19999999999993"/>
    <n v="1650.2000000000003"/>
    <n v="2274.6"/>
  </r>
  <r>
    <n v="207"/>
    <x v="15"/>
    <n v="17"/>
    <x v="68"/>
    <n v="2001"/>
    <n v="1.9"/>
    <n v="0.03"/>
    <n v="0.37"/>
    <n v="0.6"/>
    <n v="60.03"/>
    <n v="740.37000000000012"/>
    <n v="1200.5999999999999"/>
    <n v="114.057"/>
    <n v="1406.7030000000002"/>
    <n v="2281.14"/>
  </r>
  <r>
    <n v="208"/>
    <x v="8"/>
    <n v="49"/>
    <x v="68"/>
    <n v="1541"/>
    <n v="1.9"/>
    <n v="0.03"/>
    <n v="0.27"/>
    <n v="0.7"/>
    <n v="46.23"/>
    <n v="416.07000000000016"/>
    <n v="1078.6999999999998"/>
    <n v="87.836999999999989"/>
    <n v="790.53300000000024"/>
    <n v="2049.5299999999997"/>
  </r>
  <r>
    <n v="209"/>
    <x v="5"/>
    <n v="16"/>
    <x v="69"/>
    <n v="2802"/>
    <n v="1.9"/>
    <n v="0"/>
    <n v="0.5"/>
    <n v="0.5"/>
    <n v="0"/>
    <n v="1401"/>
    <n v="1401"/>
    <n v="0"/>
    <n v="2661.9"/>
    <n v="2661.9"/>
  </r>
  <r>
    <n v="210"/>
    <x v="31"/>
    <n v="13"/>
    <x v="70"/>
    <n v="1422"/>
    <n v="1.8"/>
    <n v="0.08"/>
    <n v="0.35"/>
    <n v="0.57000000000000006"/>
    <n v="113.76"/>
    <n v="497.69999999999993"/>
    <n v="810.54000000000008"/>
    <n v="204.768"/>
    <n v="895.8599999999999"/>
    <n v="1458.9720000000002"/>
  </r>
  <r>
    <n v="211"/>
    <x v="21"/>
    <n v="37"/>
    <x v="71"/>
    <n v="2192"/>
    <n v="1.8"/>
    <n v="0.15"/>
    <n v="0.4"/>
    <n v="0.44999999999999996"/>
    <n v="328.8"/>
    <n v="876.80000000000018"/>
    <n v="986.39999999999986"/>
    <n v="591.84"/>
    <n v="1578.2400000000005"/>
    <n v="1775.5199999999998"/>
  </r>
  <r>
    <n v="212"/>
    <x v="23"/>
    <n v="38"/>
    <x v="72"/>
    <n v="2155"/>
    <n v="1.7"/>
    <n v="0.1"/>
    <n v="0.4"/>
    <n v="0.5"/>
    <n v="215.5"/>
    <n v="862"/>
    <n v="1077.5"/>
    <n v="366.34999999999997"/>
    <n v="1465.3999999999999"/>
    <n v="1831.75"/>
  </r>
  <r>
    <n v="213"/>
    <x v="18"/>
    <n v="8"/>
    <x v="72"/>
    <n v="2683"/>
    <n v="1.7"/>
    <n v="0.15"/>
    <n v="0.4"/>
    <n v="0.44999999999999996"/>
    <n v="402.45"/>
    <n v="1073.2"/>
    <n v="1207.3499999999999"/>
    <n v="684.16499999999996"/>
    <n v="1824.44"/>
    <n v="2052.4949999999999"/>
  </r>
  <r>
    <n v="214"/>
    <x v="20"/>
    <n v="7"/>
    <x v="72"/>
    <n v="2192"/>
    <n v="1.7"/>
    <n v="0.1"/>
    <n v="0.4"/>
    <n v="0.5"/>
    <n v="219.20000000000002"/>
    <n v="876.8"/>
    <n v="1096"/>
    <n v="372.64000000000004"/>
    <n v="1490.56"/>
    <n v="1863.2"/>
  </r>
  <r>
    <n v="215"/>
    <x v="24"/>
    <n v="42"/>
    <x v="73"/>
    <n v="2752"/>
    <n v="1.7"/>
    <n v="3.5000000000000003E-2"/>
    <n v="0.45"/>
    <n v="0.5149999999999999"/>
    <n v="96.320000000000007"/>
    <n v="1238.4000000000003"/>
    <n v="1417.2799999999997"/>
    <n v="163.744"/>
    <n v="2105.2800000000007"/>
    <n v="2409.3759999999993"/>
  </r>
  <r>
    <n v="216"/>
    <x v="22"/>
    <n v="35"/>
    <x v="74"/>
    <n v="1625"/>
    <n v="1.6"/>
    <n v="0.05"/>
    <n v="0.45"/>
    <n v="0.49999999999999994"/>
    <n v="81.25"/>
    <n v="731.25000000000011"/>
    <n v="812.49999999999989"/>
    <n v="130"/>
    <n v="1170.0000000000002"/>
    <n v="1300"/>
  </r>
  <r>
    <n v="217"/>
    <x v="7"/>
    <n v="41"/>
    <x v="75"/>
    <n v="1950"/>
    <n v="1.6"/>
    <n v="0.12"/>
    <n v="0.38"/>
    <n v="0.5"/>
    <n v="234"/>
    <n v="741"/>
    <n v="975"/>
    <n v="374.40000000000003"/>
    <n v="1185.6000000000001"/>
    <n v="1560"/>
  </r>
  <r>
    <n v="218"/>
    <x v="26"/>
    <n v="22"/>
    <x v="75"/>
    <n v="1942"/>
    <n v="1.6"/>
    <n v="0.03"/>
    <n v="0.37"/>
    <n v="0.6"/>
    <n v="58.26"/>
    <n v="718.54"/>
    <n v="1165.2"/>
    <n v="93.216000000000008"/>
    <n v="1149.664"/>
    <n v="1864.3200000000002"/>
  </r>
  <r>
    <n v="219"/>
    <x v="12"/>
    <n v="30"/>
    <x v="75"/>
    <n v="1645"/>
    <n v="1.5"/>
    <n v="0.03"/>
    <n v="0.27"/>
    <n v="0.7"/>
    <n v="49.35"/>
    <n v="444.15"/>
    <n v="1151.5"/>
    <n v="74.025000000000006"/>
    <n v="666.22499999999991"/>
    <n v="1727.25"/>
  </r>
  <r>
    <n v="220"/>
    <x v="30"/>
    <n v="43"/>
    <x v="75"/>
    <n v="2146"/>
    <n v="1.6"/>
    <n v="0.05"/>
    <n v="0.35"/>
    <n v="0.6"/>
    <n v="107.30000000000001"/>
    <n v="751.10000000000014"/>
    <n v="1287.5999999999999"/>
    <n v="171.68000000000004"/>
    <n v="1201.7600000000002"/>
    <n v="2060.16"/>
  </r>
  <r>
    <n v="221"/>
    <x v="8"/>
    <n v="49"/>
    <x v="75"/>
    <n v="1477"/>
    <n v="1.6"/>
    <n v="0.03"/>
    <n v="0.27"/>
    <n v="0.7"/>
    <n v="44.309999999999995"/>
    <n v="398.79000000000013"/>
    <n v="1033.8999999999999"/>
    <n v="70.896000000000001"/>
    <n v="638.06400000000031"/>
    <n v="1654.2399999999998"/>
  </r>
  <r>
    <n v="222"/>
    <x v="5"/>
    <n v="16"/>
    <x v="76"/>
    <n v="2915"/>
    <n v="1.4"/>
    <n v="0"/>
    <n v="0.5"/>
    <n v="0.5"/>
    <n v="0"/>
    <n v="1457.5"/>
    <n v="1457.5"/>
    <n v="0"/>
    <n v="2040.4999999999998"/>
    <n v="2040.4999999999998"/>
  </r>
  <r>
    <n v="223"/>
    <x v="25"/>
    <n v="28"/>
    <x v="76"/>
    <n v="1862"/>
    <n v="1.4"/>
    <n v="0.3"/>
    <n v="0.4"/>
    <n v="0.29999999999999993"/>
    <n v="558.6"/>
    <n v="744.80000000000007"/>
    <n v="558.59999999999991"/>
    <n v="782.04"/>
    <n v="1042.72"/>
    <n v="782.03999999999985"/>
  </r>
  <r>
    <n v="224"/>
    <x v="2"/>
    <n v="33"/>
    <x v="76"/>
    <n v="1492"/>
    <n v="1.51"/>
    <n v="0.03"/>
    <n v="0.27"/>
    <n v="0.7"/>
    <n v="44.76"/>
    <n v="402.84000000000015"/>
    <n v="1044.3999999999999"/>
    <n v="67.587599999999995"/>
    <n v="608.28840000000025"/>
    <n v="1577.0439999999999"/>
  </r>
  <r>
    <n v="225"/>
    <x v="13"/>
    <n v="26"/>
    <x v="76"/>
    <n v="1526"/>
    <n v="1.5"/>
    <n v="0.03"/>
    <n v="0.27"/>
    <n v="0.7"/>
    <n v="45.78"/>
    <n v="412.02"/>
    <n v="1068.2"/>
    <n v="68.67"/>
    <n v="618.03"/>
    <n v="1602.3000000000002"/>
  </r>
  <r>
    <n v="226"/>
    <x v="0"/>
    <n v="1"/>
    <x v="77"/>
    <n v="3568"/>
    <n v="1.45"/>
    <n v="0"/>
    <n v="1"/>
    <n v="0"/>
    <n v="0"/>
    <n v="3568"/>
    <n v="0"/>
    <n v="0"/>
    <n v="5173.5999999999995"/>
    <n v="0"/>
  </r>
  <r>
    <n v="227"/>
    <x v="33"/>
    <n v="40"/>
    <x v="77"/>
    <n v="1945"/>
    <n v="1.4"/>
    <n v="0.6"/>
    <n v="0.4"/>
    <n v="0"/>
    <n v="1167"/>
    <n v="778"/>
    <n v="0"/>
    <n v="1633.8"/>
    <n v="1089.1999999999998"/>
    <n v="0"/>
  </r>
  <r>
    <n v="228"/>
    <x v="35"/>
    <n v="46"/>
    <x v="77"/>
    <n v="877"/>
    <n v="1.4"/>
    <n v="0.03"/>
    <n v="0.27"/>
    <n v="0.7"/>
    <n v="26.31"/>
    <n v="236.79000000000002"/>
    <n v="613.9"/>
    <n v="36.833999999999996"/>
    <n v="331.50600000000003"/>
    <n v="859.45999999999992"/>
  </r>
  <r>
    <n v="229"/>
    <x v="36"/>
    <n v="27"/>
    <x v="78"/>
    <n v="239"/>
    <n v="1.54"/>
    <n v="0.1"/>
    <n v="0.4"/>
    <n v="0.5"/>
    <n v="23.900000000000002"/>
    <n v="95.6"/>
    <n v="119.5"/>
    <n v="36.806000000000004"/>
    <n v="147.22399999999999"/>
    <n v="184.03"/>
  </r>
  <r>
    <n v="230"/>
    <x v="4"/>
    <n v="9"/>
    <x v="78"/>
    <n v="1271"/>
    <n v="1.54"/>
    <n v="0.1"/>
    <n v="0.4"/>
    <n v="0.5"/>
    <n v="127.10000000000001"/>
    <n v="508.4"/>
    <n v="635.5"/>
    <n v="195.73400000000001"/>
    <n v="782.93600000000004"/>
    <n v="978.67000000000007"/>
  </r>
  <r>
    <n v="231"/>
    <x v="23"/>
    <n v="38"/>
    <x v="79"/>
    <n v="2619"/>
    <n v="1.39"/>
    <n v="0.1"/>
    <n v="0.4"/>
    <n v="0.5"/>
    <n v="261.90000000000003"/>
    <n v="1047.5999999999999"/>
    <n v="1309.5"/>
    <n v="364.041"/>
    <n v="1456.1639999999998"/>
    <n v="1820.2049999999999"/>
  </r>
  <r>
    <n v="232"/>
    <x v="37"/>
    <n v="25"/>
    <x v="79"/>
    <n v="1434"/>
    <n v="1.39"/>
    <n v="0.1"/>
    <n v="0.4"/>
    <n v="0.5"/>
    <n v="143.4"/>
    <n v="573.6"/>
    <n v="717"/>
    <n v="199.32599999999999"/>
    <n v="797.30399999999997"/>
    <n v="996.62999999999988"/>
  </r>
  <r>
    <n v="233"/>
    <x v="21"/>
    <n v="37"/>
    <x v="80"/>
    <n v="3344"/>
    <n v="1.39"/>
    <n v="0.15"/>
    <n v="0.4"/>
    <n v="0.44999999999999996"/>
    <n v="501.59999999999997"/>
    <n v="1337.6000000000001"/>
    <n v="1504.8"/>
    <n v="697.22399999999993"/>
    <n v="1859.2640000000001"/>
    <n v="2091.6719999999996"/>
  </r>
  <r>
    <n v="234"/>
    <x v="24"/>
    <n v="42"/>
    <x v="80"/>
    <n v="2590"/>
    <n v="1.39"/>
    <n v="0.08"/>
    <n v="0.43"/>
    <n v="0.49000000000000005"/>
    <n v="207.20000000000002"/>
    <n v="1113.6999999999998"/>
    <n v="1269.1000000000001"/>
    <n v="288.00799999999998"/>
    <n v="1548.0429999999997"/>
    <n v="1764.049"/>
  </r>
  <r>
    <n v="235"/>
    <x v="38"/>
    <n v="10"/>
    <x v="81"/>
    <n v="976"/>
    <n v="1.39"/>
    <n v="0.03"/>
    <n v="0.37"/>
    <n v="0.6"/>
    <n v="29.279999999999998"/>
    <n v="361.12"/>
    <n v="585.6"/>
    <n v="40.69919999999999"/>
    <n v="501.95679999999999"/>
    <n v="813.98399999999992"/>
  </r>
  <r>
    <n v="236"/>
    <x v="5"/>
    <n v="16"/>
    <x v="81"/>
    <n v="2755"/>
    <n v="1.39"/>
    <n v="0"/>
    <n v="0.5"/>
    <n v="0.5"/>
    <n v="0"/>
    <n v="1377.5"/>
    <n v="1377.5"/>
    <n v="0"/>
    <n v="1914.7249999999999"/>
    <n v="1914.7249999999999"/>
  </r>
  <r>
    <n v="237"/>
    <x v="7"/>
    <n v="41"/>
    <x v="81"/>
    <n v="2770"/>
    <n v="1.39"/>
    <n v="0.1"/>
    <n v="0.4"/>
    <n v="0.5"/>
    <n v="277"/>
    <n v="1108"/>
    <n v="1385"/>
    <n v="385.03"/>
    <n v="1540.12"/>
    <n v="1925.1499999999999"/>
  </r>
  <r>
    <n v="238"/>
    <x v="22"/>
    <n v="35"/>
    <x v="81"/>
    <n v="1691"/>
    <n v="1.39"/>
    <n v="0.05"/>
    <n v="0.45"/>
    <n v="0.49999999999999994"/>
    <n v="84.550000000000011"/>
    <n v="760.95"/>
    <n v="845.49999999999989"/>
    <n v="117.5245"/>
    <n v="1057.7204999999999"/>
    <n v="1175.2449999999997"/>
  </r>
  <r>
    <n v="239"/>
    <x v="39"/>
    <n v="15"/>
    <x v="81"/>
    <n v="969"/>
    <n v="1.39"/>
    <n v="0"/>
    <n v="0.3"/>
    <n v="0.7"/>
    <n v="0"/>
    <n v="290.70000000000005"/>
    <n v="678.3"/>
    <n v="0"/>
    <n v="404.07300000000004"/>
    <n v="942.83699999999988"/>
  </r>
  <r>
    <n v="240"/>
    <x v="26"/>
    <n v="22"/>
    <x v="81"/>
    <n v="2438"/>
    <n v="1.39"/>
    <n v="0.03"/>
    <n v="0.37"/>
    <n v="0.6"/>
    <n v="73.14"/>
    <n v="902.06000000000006"/>
    <n v="1462.8"/>
    <n v="101.66459999999999"/>
    <n v="1253.8634"/>
    <n v="2033.2919999999997"/>
  </r>
  <r>
    <n v="241"/>
    <x v="12"/>
    <n v="30"/>
    <x v="81"/>
    <n v="1533"/>
    <n v="1.39"/>
    <n v="0.03"/>
    <n v="0.27"/>
    <n v="0.7"/>
    <n v="45.989999999999995"/>
    <n v="413.91000000000008"/>
    <n v="1073.0999999999999"/>
    <n v="63.926099999999991"/>
    <n v="575.33490000000006"/>
    <n v="1491.6089999999997"/>
  </r>
  <r>
    <n v="242"/>
    <x v="2"/>
    <n v="33"/>
    <x v="81"/>
    <n v="1091"/>
    <n v="1.39"/>
    <n v="0.03"/>
    <n v="0.27"/>
    <n v="0.7"/>
    <n v="32.729999999999997"/>
    <n v="294.57000000000005"/>
    <n v="763.69999999999993"/>
    <n v="45.494699999999995"/>
    <n v="409.45230000000004"/>
    <n v="1061.5429999999999"/>
  </r>
  <r>
    <n v="243"/>
    <x v="40"/>
    <n v="32"/>
    <x v="81"/>
    <n v="1266"/>
    <n v="1.39"/>
    <n v="0.03"/>
    <n v="0.27"/>
    <n v="0.7"/>
    <n v="37.979999999999997"/>
    <n v="341.82000000000005"/>
    <n v="886.19999999999993"/>
    <n v="52.792199999999994"/>
    <n v="475.12980000000005"/>
    <n v="1231.8179999999998"/>
  </r>
  <r>
    <n v="244"/>
    <x v="41"/>
    <n v="4"/>
    <x v="81"/>
    <n v="147"/>
    <n v="1.39"/>
    <n v="0.03"/>
    <n v="0.27"/>
    <n v="0.7"/>
    <n v="4.41"/>
    <n v="39.690000000000012"/>
    <n v="102.89999999999999"/>
    <n v="6.1299000000000001"/>
    <n v="55.169100000000014"/>
    <n v="143.03099999999998"/>
  </r>
  <r>
    <n v="245"/>
    <x v="6"/>
    <n v="14"/>
    <x v="81"/>
    <n v="7039"/>
    <n v="1.39"/>
    <n v="0.13"/>
    <n v="0.47"/>
    <n v="0.4"/>
    <n v="915.07"/>
    <n v="3308.3299999999995"/>
    <n v="2815.6000000000004"/>
    <n v="1271.9473"/>
    <n v="4598.5786999999991"/>
    <n v="3913.6840000000002"/>
  </r>
  <r>
    <n v="246"/>
    <x v="42"/>
    <n v="12"/>
    <x v="81"/>
    <n v="744"/>
    <n v="1.39"/>
    <n v="0.65"/>
    <n v="0.35"/>
    <n v="0"/>
    <n v="483.6"/>
    <n v="260.39999999999998"/>
    <n v="0"/>
    <n v="672.20399999999995"/>
    <n v="361.95599999999996"/>
    <n v="0"/>
  </r>
  <r>
    <n v="247"/>
    <x v="30"/>
    <n v="43"/>
    <x v="81"/>
    <n v="914"/>
    <n v="1.39"/>
    <n v="0.03"/>
    <n v="0.37"/>
    <n v="0.6"/>
    <n v="27.419999999999998"/>
    <n v="338.18"/>
    <n v="548.4"/>
    <n v="38.113799999999998"/>
    <n v="470.0702"/>
    <n v="762.27599999999995"/>
  </r>
  <r>
    <n v="248"/>
    <x v="4"/>
    <n v="9"/>
    <x v="81"/>
    <n v="1402"/>
    <n v="1.39"/>
    <n v="0.6"/>
    <n v="0.4"/>
    <n v="0"/>
    <n v="841.19999999999993"/>
    <n v="560.80000000000007"/>
    <n v="0"/>
    <n v="1169.2679999999998"/>
    <n v="779.51200000000006"/>
    <n v="0"/>
  </r>
  <r>
    <n v="249"/>
    <x v="43"/>
    <n v="31"/>
    <x v="82"/>
    <n v="902"/>
    <n v="1.35"/>
    <n v="0.65"/>
    <n v="0.35"/>
    <n v="0"/>
    <n v="586.30000000000007"/>
    <n v="315.69999999999993"/>
    <n v="0"/>
    <n v="791.50500000000011"/>
    <n v="426.19499999999994"/>
    <n v="0"/>
  </r>
  <r>
    <n v="250"/>
    <x v="6"/>
    <n v="14"/>
    <x v="82"/>
    <n v="4184"/>
    <n v="1.35"/>
    <n v="0.13"/>
    <n v="0.47"/>
    <n v="0.4"/>
    <n v="543.92000000000007"/>
    <n v="1966.4799999999996"/>
    <n v="1673.6000000000001"/>
    <n v="734.29200000000014"/>
    <n v="2654.7479999999996"/>
    <n v="2259.36"/>
  </r>
  <r>
    <n v="251"/>
    <x v="33"/>
    <n v="40"/>
    <x v="82"/>
    <n v="1676"/>
    <n v="1.35"/>
    <n v="0.6"/>
    <n v="0.4"/>
    <n v="0"/>
    <n v="1005.5999999999999"/>
    <n v="670.40000000000009"/>
    <n v="0"/>
    <n v="1357.56"/>
    <n v="905.04000000000019"/>
    <n v="0"/>
  </r>
  <r>
    <n v="252"/>
    <x v="25"/>
    <n v="28"/>
    <x v="83"/>
    <n v="2932"/>
    <n v="1.01"/>
    <n v="0.2"/>
    <n v="0.4"/>
    <n v="0.4"/>
    <n v="586.4"/>
    <n v="1172.8000000000002"/>
    <n v="1172.8"/>
    <n v="592.26400000000001"/>
    <n v="1184.5280000000002"/>
    <n v="1184.528"/>
  </r>
  <r>
    <n v="253"/>
    <x v="18"/>
    <n v="8"/>
    <x v="84"/>
    <n v="3335"/>
    <n v="0.92"/>
    <n v="0.3"/>
    <n v="0.4"/>
    <n v="0.29999999999999993"/>
    <n v="1000.5"/>
    <n v="1334"/>
    <n v="1000.4999999999998"/>
    <n v="920.46"/>
    <n v="1227.28"/>
    <n v="920.45999999999981"/>
  </r>
  <r>
    <n v="254"/>
    <x v="44"/>
    <n v="6"/>
    <x v="85"/>
    <n v="601"/>
    <n v="0.92"/>
    <n v="0.03"/>
    <n v="0.37"/>
    <n v="0.6"/>
    <n v="18.029999999999998"/>
    <n v="222.37000000000003"/>
    <n v="360.59999999999997"/>
    <n v="16.587599999999998"/>
    <n v="204.58040000000003"/>
    <n v="331.75200000000001"/>
  </r>
  <r>
    <n v="255"/>
    <x v="45"/>
    <n v="34"/>
    <x v="85"/>
    <n v="77"/>
    <n v="0.92"/>
    <n v="0.03"/>
    <n v="0.37"/>
    <n v="0.6"/>
    <n v="2.31"/>
    <n v="28.490000000000006"/>
    <n v="46.199999999999996"/>
    <n v="2.1252"/>
    <n v="26.210800000000006"/>
    <n v="42.503999999999998"/>
  </r>
  <r>
    <n v="256"/>
    <x v="31"/>
    <n v="13"/>
    <x v="85"/>
    <n v="388"/>
    <n v="0.92"/>
    <n v="0.03"/>
    <n v="0.37"/>
    <n v="0.6"/>
    <n v="11.639999999999999"/>
    <n v="143.56000000000003"/>
    <n v="232.79999999999998"/>
    <n v="10.7088"/>
    <n v="132.07520000000002"/>
    <n v="214.17599999999999"/>
  </r>
  <r>
    <n v="257"/>
    <x v="0"/>
    <n v="1"/>
    <x v="86"/>
    <n v="4705"/>
    <n v="0.98"/>
    <n v="0"/>
    <n v="1"/>
    <n v="0"/>
    <n v="0"/>
    <n v="4705"/>
    <n v="0"/>
    <n v="0"/>
    <n v="4610.8999999999996"/>
    <n v="0"/>
  </r>
  <r>
    <n v="258"/>
    <x v="19"/>
    <n v="39"/>
    <x v="86"/>
    <n v="1943"/>
    <n v="0.98"/>
    <n v="0.05"/>
    <n v="0.45"/>
    <n v="0.49999999999999994"/>
    <n v="97.15"/>
    <n v="874.35000000000014"/>
    <n v="971.49999999999989"/>
    <n v="95.207000000000008"/>
    <n v="856.86300000000017"/>
    <n v="952.06999999999982"/>
  </r>
  <r>
    <n v="259"/>
    <x v="7"/>
    <n v="41"/>
    <x v="86"/>
    <n v="1974"/>
    <n v="1"/>
    <n v="0.12"/>
    <n v="0.38"/>
    <n v="0.5"/>
    <n v="236.88"/>
    <n v="750.12"/>
    <n v="987"/>
    <n v="236.88"/>
    <n v="750.12"/>
    <n v="987"/>
  </r>
  <r>
    <n v="260"/>
    <x v="38"/>
    <n v="10"/>
    <x v="86"/>
    <n v="1737"/>
    <n v="0.98"/>
    <n v="0.03"/>
    <n v="0.37"/>
    <n v="0.6"/>
    <n v="52.11"/>
    <n v="642.68999999999994"/>
    <n v="1042.2"/>
    <n v="51.067799999999998"/>
    <n v="629.83619999999996"/>
    <n v="1021.356"/>
  </r>
  <r>
    <n v="261"/>
    <x v="21"/>
    <n v="37"/>
    <x v="86"/>
    <n v="2076"/>
    <n v="0.98"/>
    <n v="0.15"/>
    <n v="0.4"/>
    <n v="0.44999999999999996"/>
    <n v="311.39999999999998"/>
    <n v="830.4000000000002"/>
    <n v="934.19999999999993"/>
    <n v="305.17199999999997"/>
    <n v="813.79200000000014"/>
    <n v="915.51599999999996"/>
  </r>
  <r>
    <n v="262"/>
    <x v="24"/>
    <n v="42"/>
    <x v="86"/>
    <n v="1986"/>
    <n v="0.98"/>
    <n v="0.08"/>
    <n v="0.43"/>
    <n v="0.49000000000000005"/>
    <n v="158.88"/>
    <n v="853.9799999999999"/>
    <n v="973.1400000000001"/>
    <n v="155.70239999999998"/>
    <n v="836.90039999999988"/>
    <n v="953.67720000000008"/>
  </r>
  <r>
    <n v="263"/>
    <x v="23"/>
    <n v="38"/>
    <x v="86"/>
    <n v="1761"/>
    <n v="1"/>
    <n v="0.1"/>
    <n v="0.4"/>
    <n v="0.5"/>
    <n v="176.10000000000002"/>
    <n v="704.4"/>
    <n v="880.5"/>
    <n v="176.10000000000002"/>
    <n v="704.4"/>
    <n v="880.5"/>
  </r>
  <r>
    <n v="264"/>
    <x v="22"/>
    <n v="35"/>
    <x v="87"/>
    <n v="1584"/>
    <n v="0.95"/>
    <n v="0.05"/>
    <n v="0.45"/>
    <n v="0.49999999999999994"/>
    <n v="79.2"/>
    <n v="712.80000000000007"/>
    <n v="791.99999999999989"/>
    <n v="75.239999999999995"/>
    <n v="677.16000000000008"/>
    <n v="752.39999999999986"/>
  </r>
  <r>
    <n v="265"/>
    <x v="39"/>
    <n v="15"/>
    <x v="87"/>
    <n v="1172"/>
    <n v="0.98"/>
    <n v="0.03"/>
    <n v="0.27"/>
    <n v="0.7"/>
    <n v="35.159999999999997"/>
    <n v="316.44000000000005"/>
    <n v="820.4"/>
    <n v="34.456799999999994"/>
    <n v="310.11120000000005"/>
    <n v="803.99199999999996"/>
  </r>
  <r>
    <n v="266"/>
    <x v="26"/>
    <n v="22"/>
    <x v="87"/>
    <n v="1893"/>
    <n v="0.98"/>
    <n v="0.03"/>
    <n v="0.37"/>
    <n v="0.6"/>
    <n v="56.79"/>
    <n v="700.41000000000008"/>
    <n v="1135.8"/>
    <n v="55.654199999999996"/>
    <n v="686.40180000000009"/>
    <n v="1113.0839999999998"/>
  </r>
  <r>
    <n v="267"/>
    <x v="12"/>
    <n v="30"/>
    <x v="87"/>
    <n v="563"/>
    <n v="0.98"/>
    <n v="0.03"/>
    <n v="0.27"/>
    <n v="0.7"/>
    <n v="16.89"/>
    <n v="152.01000000000005"/>
    <n v="394.09999999999997"/>
    <n v="16.552199999999999"/>
    <n v="148.96980000000005"/>
    <n v="386.21799999999996"/>
  </r>
  <r>
    <n v="268"/>
    <x v="2"/>
    <n v="33"/>
    <x v="87"/>
    <n v="1258"/>
    <n v="0.98"/>
    <n v="0.03"/>
    <n v="0.27"/>
    <n v="0.7"/>
    <n v="37.74"/>
    <n v="339.66000000000008"/>
    <n v="880.59999999999991"/>
    <n v="36.985199999999999"/>
    <n v="332.86680000000007"/>
    <n v="862.98799999999994"/>
  </r>
  <r>
    <n v="269"/>
    <x v="40"/>
    <n v="32"/>
    <x v="87"/>
    <n v="1242"/>
    <n v="0.98"/>
    <n v="0.03"/>
    <n v="0.27"/>
    <n v="0.7"/>
    <n v="37.26"/>
    <n v="335.34000000000003"/>
    <n v="869.4"/>
    <n v="36.514799999999994"/>
    <n v="328.63320000000004"/>
    <n v="852.01199999999994"/>
  </r>
  <r>
    <n v="270"/>
    <x v="41"/>
    <n v="4"/>
    <x v="88"/>
    <n v="1195"/>
    <n v="0.98"/>
    <n v="0.03"/>
    <n v="0.27"/>
    <n v="0.7"/>
    <n v="35.85"/>
    <n v="322.64999999999998"/>
    <n v="836.5"/>
    <n v="35.133000000000003"/>
    <n v="316.19699999999995"/>
    <n v="819.77"/>
  </r>
  <r>
    <n v="271"/>
    <x v="46"/>
    <n v="11"/>
    <x v="88"/>
    <n v="477"/>
    <n v="0.98"/>
    <n v="0.6"/>
    <n v="0.4"/>
    <n v="0"/>
    <n v="286.2"/>
    <n v="190.8"/>
    <n v="0"/>
    <n v="280.476"/>
    <n v="186.98400000000001"/>
    <n v="0"/>
  </r>
  <r>
    <n v="272"/>
    <x v="42"/>
    <n v="12"/>
    <x v="88"/>
    <n v="1969"/>
    <n v="0.98"/>
    <n v="0.65"/>
    <n v="0.35"/>
    <n v="0"/>
    <n v="1279.8500000000001"/>
    <n v="689.14999999999986"/>
    <n v="0"/>
    <n v="1254.2530000000002"/>
    <n v="675.36699999999985"/>
    <n v="0"/>
  </r>
  <r>
    <n v="273"/>
    <x v="31"/>
    <n v="13"/>
    <x v="88"/>
    <n v="2042"/>
    <n v="0.98"/>
    <n v="0.6"/>
    <n v="0.4"/>
    <n v="0"/>
    <n v="1225.2"/>
    <n v="816.8"/>
    <n v="0"/>
    <n v="1200.6959999999999"/>
    <n v="800.46399999999994"/>
    <n v="0"/>
  </r>
  <r>
    <n v="274"/>
    <x v="37"/>
    <n v="25"/>
    <x v="89"/>
    <n v="1489"/>
    <n v="0.98"/>
    <n v="0.1"/>
    <n v="0.4"/>
    <n v="0.5"/>
    <n v="148.9"/>
    <n v="595.6"/>
    <n v="744.5"/>
    <n v="145.922"/>
    <n v="583.68799999999999"/>
    <n v="729.61"/>
  </r>
  <r>
    <n v="275"/>
    <x v="47"/>
    <n v="23"/>
    <x v="89"/>
    <n v="141"/>
    <n v="0.98"/>
    <n v="0.03"/>
    <n v="0.27"/>
    <n v="0.7"/>
    <n v="4.2299999999999995"/>
    <n v="38.070000000000014"/>
    <n v="98.699999999999989"/>
    <n v="4.1453999999999995"/>
    <n v="37.308600000000013"/>
    <n v="96.725999999999985"/>
  </r>
  <r>
    <n v="276"/>
    <x v="4"/>
    <n v="9"/>
    <x v="89"/>
    <n v="765"/>
    <n v="0.98"/>
    <n v="0.7"/>
    <n v="0.3"/>
    <n v="0"/>
    <n v="535.5"/>
    <n v="229.5"/>
    <n v="0"/>
    <n v="524.79"/>
    <n v="224.91"/>
    <n v="0"/>
  </r>
  <r>
    <n v="277"/>
    <x v="48"/>
    <n v="48"/>
    <x v="89"/>
    <n v="286"/>
    <n v="0.98"/>
    <n v="0.03"/>
    <n v="0.27"/>
    <n v="0.7"/>
    <n v="8.58"/>
    <n v="77.220000000000013"/>
    <n v="200.2"/>
    <n v="8.4084000000000003"/>
    <n v="75.675600000000017"/>
    <n v="196.196"/>
  </r>
  <r>
    <n v="278"/>
    <x v="18"/>
    <n v="8"/>
    <x v="90"/>
    <n v="2150"/>
    <n v="0.93"/>
    <n v="0.15815000000000001"/>
    <n v="0.4"/>
    <n v="0.44184999999999997"/>
    <n v="340.02250000000004"/>
    <n v="860"/>
    <n v="949.97749999999996"/>
    <n v="316.22092500000002"/>
    <n v="799.80000000000007"/>
    <n v="883.47907499999997"/>
  </r>
  <r>
    <n v="279"/>
    <x v="33"/>
    <n v="40"/>
    <x v="90"/>
    <n v="1674"/>
    <n v="0.92"/>
    <n v="0.6"/>
    <n v="0.4"/>
    <n v="0"/>
    <n v="1004.4"/>
    <n v="669.6"/>
    <n v="0"/>
    <n v="924.048"/>
    <n v="616.03200000000004"/>
    <n v="0"/>
  </r>
  <r>
    <n v="280"/>
    <x v="43"/>
    <n v="31"/>
    <x v="90"/>
    <n v="1244"/>
    <n v="0.91"/>
    <n v="0.65"/>
    <n v="0.35"/>
    <n v="0"/>
    <n v="808.6"/>
    <n v="435.4"/>
    <n v="0"/>
    <n v="735.82600000000002"/>
    <n v="396.214"/>
    <n v="0"/>
  </r>
  <r>
    <n v="281"/>
    <x v="36"/>
    <n v="27"/>
    <x v="91"/>
    <n v="2696"/>
    <n v="0.82"/>
    <n v="0.1"/>
    <n v="0.4"/>
    <n v="0.5"/>
    <n v="269.60000000000002"/>
    <n v="1078.4000000000001"/>
    <n v="1348"/>
    <n v="221.072"/>
    <n v="884.28800000000001"/>
    <n v="1105.3599999999999"/>
  </r>
  <r>
    <n v="282"/>
    <x v="25"/>
    <n v="28"/>
    <x v="92"/>
    <n v="2099"/>
    <n v="0.5"/>
    <n v="0.17"/>
    <n v="0.4"/>
    <n v="0.42999999999999994"/>
    <n v="356.83000000000004"/>
    <n v="839.60000000000025"/>
    <n v="902.56999999999982"/>
    <n v="178.41500000000002"/>
    <n v="419.80000000000013"/>
    <n v="451.28499999999991"/>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r>
    <s v=""/>
    <x v="49"/>
    <n v="0"/>
    <x v="93"/>
    <m/>
    <m/>
    <m/>
    <m/>
    <m/>
    <n v="0"/>
    <n v="0"/>
    <n v="0"/>
    <n v="0"/>
    <n v="0"/>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n v="1"/>
    <x v="0"/>
    <x v="0"/>
    <x v="0"/>
    <n v="3553"/>
    <n v="10.8"/>
    <n v="0"/>
    <n v="0.5"/>
    <n v="0.5"/>
    <n v="0"/>
    <n v="1776.5"/>
    <n v="1776.5"/>
    <n v="0"/>
    <n v="19186.2"/>
    <n v="19186.2"/>
  </r>
  <r>
    <n v="2"/>
    <x v="1"/>
    <x v="1"/>
    <x v="0"/>
    <n v="2760"/>
    <n v="10.8"/>
    <n v="0"/>
    <n v="0.5"/>
    <n v="0.5"/>
    <n v="0"/>
    <n v="1380"/>
    <n v="1380"/>
    <n v="0"/>
    <n v="14904.000000000002"/>
    <n v="14904.000000000002"/>
  </r>
  <r>
    <n v="3"/>
    <x v="2"/>
    <x v="2"/>
    <x v="1"/>
    <n v="2054"/>
    <n v="13.5"/>
    <n v="0.05"/>
    <n v="0.22"/>
    <n v="0.73"/>
    <n v="102.7"/>
    <n v="451.87999999999994"/>
    <n v="1499.42"/>
    <n v="1386.45"/>
    <n v="6100.3799999999992"/>
    <n v="20242.170000000002"/>
  </r>
  <r>
    <n v="4"/>
    <x v="3"/>
    <x v="3"/>
    <x v="2"/>
    <n v="3277"/>
    <n v="16.3"/>
    <n v="0"/>
    <n v="0.5"/>
    <n v="0.5"/>
    <n v="0"/>
    <n v="1638.5"/>
    <n v="1638.5"/>
    <n v="0"/>
    <n v="26707.550000000003"/>
    <n v="26707.550000000003"/>
  </r>
  <r>
    <n v="5"/>
    <x v="4"/>
    <x v="4"/>
    <x v="3"/>
    <n v="2600"/>
    <n v="12.5"/>
    <n v="0.15"/>
    <n v="0.35"/>
    <n v="0.5"/>
    <n v="390"/>
    <n v="910"/>
    <n v="1300"/>
    <n v="4875"/>
    <n v="11375"/>
    <n v="16250"/>
  </r>
  <r>
    <n v="6"/>
    <x v="1"/>
    <x v="1"/>
    <x v="4"/>
    <n v="2771"/>
    <n v="14"/>
    <n v="0"/>
    <n v="0.5"/>
    <n v="0.5"/>
    <n v="0"/>
    <n v="1385.5"/>
    <n v="1385.5"/>
    <n v="0"/>
    <n v="19397"/>
    <n v="19397"/>
  </r>
  <r>
    <n v="7"/>
    <x v="0"/>
    <x v="0"/>
    <x v="5"/>
    <n v="2950"/>
    <n v="14"/>
    <n v="0"/>
    <n v="0.5"/>
    <n v="0.5"/>
    <n v="0"/>
    <n v="1475"/>
    <n v="1475"/>
    <n v="0"/>
    <n v="20650"/>
    <n v="20650"/>
  </r>
  <r>
    <n v="8"/>
    <x v="5"/>
    <x v="5"/>
    <x v="6"/>
    <n v="2482"/>
    <n v="13.5"/>
    <n v="0.05"/>
    <n v="0.45"/>
    <n v="0.49999999999999994"/>
    <n v="124.10000000000001"/>
    <n v="1116.9000000000003"/>
    <n v="1240.9999999999998"/>
    <n v="1675.3500000000001"/>
    <n v="15078.150000000005"/>
    <n v="16753.499999999996"/>
  </r>
  <r>
    <n v="9"/>
    <x v="6"/>
    <x v="6"/>
    <x v="6"/>
    <n v="3190"/>
    <n v="13.5"/>
    <n v="0.1"/>
    <n v="0.4"/>
    <n v="0.5"/>
    <n v="319"/>
    <n v="1276"/>
    <n v="1595"/>
    <n v="4306.5"/>
    <n v="17226"/>
    <n v="21532.5"/>
  </r>
  <r>
    <n v="10"/>
    <x v="3"/>
    <x v="3"/>
    <x v="7"/>
    <n v="2516"/>
    <n v="10"/>
    <n v="0"/>
    <n v="0.5"/>
    <n v="0.5"/>
    <n v="0"/>
    <n v="1258"/>
    <n v="1258"/>
    <n v="0"/>
    <n v="12580"/>
    <n v="12580"/>
  </r>
  <r>
    <n v="11"/>
    <x v="7"/>
    <x v="7"/>
    <x v="8"/>
    <n v="4206"/>
    <n v="11.5"/>
    <n v="0.15"/>
    <n v="0.35"/>
    <n v="0.5"/>
    <n v="630.9"/>
    <n v="1472.1"/>
    <n v="2103"/>
    <n v="7255.3499999999995"/>
    <n v="16929.149999999998"/>
    <n v="24184.5"/>
  </r>
  <r>
    <n v="12"/>
    <x v="4"/>
    <x v="4"/>
    <x v="8"/>
    <n v="2387"/>
    <n v="10"/>
    <n v="0.15"/>
    <n v="0.35"/>
    <n v="0.5"/>
    <n v="358.05"/>
    <n v="835.45"/>
    <n v="1193.5"/>
    <n v="3580.5"/>
    <n v="8354.5"/>
    <n v="11935"/>
  </r>
  <r>
    <n v="13"/>
    <x v="8"/>
    <x v="8"/>
    <x v="8"/>
    <n v="4742"/>
    <n v="10"/>
    <n v="0.2"/>
    <n v="0.4"/>
    <n v="0.4"/>
    <n v="948.40000000000009"/>
    <n v="1896.7999999999997"/>
    <n v="1896.8000000000002"/>
    <n v="9484"/>
    <n v="18967.999999999996"/>
    <n v="18968"/>
  </r>
  <r>
    <n v="14"/>
    <x v="9"/>
    <x v="9"/>
    <x v="8"/>
    <n v="1776"/>
    <n v="10"/>
    <n v="0.2"/>
    <n v="0.4"/>
    <n v="0.4"/>
    <n v="355.20000000000005"/>
    <n v="710.39999999999986"/>
    <n v="710.40000000000009"/>
    <n v="3552.0000000000005"/>
    <n v="7103.9999999999982"/>
    <n v="7104.0000000000009"/>
  </r>
  <r>
    <n v="15"/>
    <x v="6"/>
    <x v="6"/>
    <x v="9"/>
    <n v="2746"/>
    <n v="9.8000000000000007"/>
    <n v="0.1"/>
    <n v="0.4"/>
    <n v="0.5"/>
    <n v="274.60000000000002"/>
    <n v="1098.4000000000001"/>
    <n v="1373"/>
    <n v="2691.0800000000004"/>
    <n v="10764.320000000002"/>
    <n v="13455.400000000001"/>
  </r>
  <r>
    <n v="16"/>
    <x v="1"/>
    <x v="1"/>
    <x v="10"/>
    <n v="3286"/>
    <n v="9"/>
    <n v="0"/>
    <n v="0.5"/>
    <n v="0.5"/>
    <n v="0"/>
    <n v="1643"/>
    <n v="1643"/>
    <n v="0"/>
    <n v="14787"/>
    <n v="14787"/>
  </r>
  <r>
    <n v="17"/>
    <x v="0"/>
    <x v="0"/>
    <x v="11"/>
    <n v="3072"/>
    <n v="8.1999999999999993"/>
    <n v="0"/>
    <n v="0.5"/>
    <n v="0.5"/>
    <n v="0"/>
    <n v="1536"/>
    <n v="1536"/>
    <n v="0"/>
    <n v="12595.199999999999"/>
    <n v="12595.199999999999"/>
  </r>
  <r>
    <n v="18"/>
    <x v="5"/>
    <x v="5"/>
    <x v="12"/>
    <n v="3663"/>
    <n v="8.5"/>
    <n v="0.05"/>
    <n v="0.45"/>
    <n v="0.49999999999999994"/>
    <n v="183.15"/>
    <n v="1648.3500000000001"/>
    <n v="1831.4999999999998"/>
    <n v="1556.7750000000001"/>
    <n v="14010.975"/>
    <n v="15567.749999999998"/>
  </r>
  <r>
    <n v="19"/>
    <x v="2"/>
    <x v="2"/>
    <x v="13"/>
    <n v="1605"/>
    <n v="8.6"/>
    <n v="1.2489999999999999E-2"/>
    <n v="0.15579999999999999"/>
    <n v="0.83170999999999995"/>
    <n v="20.04645"/>
    <n v="250.05900000000003"/>
    <n v="1334.89455"/>
    <n v="172.39946999999998"/>
    <n v="2150.5074"/>
    <n v="11480.093129999999"/>
  </r>
  <r>
    <n v="20"/>
    <x v="10"/>
    <x v="10"/>
    <x v="13"/>
    <n v="820"/>
    <n v="9.8000000000000007"/>
    <n v="0"/>
    <n v="0.16850000000000001"/>
    <n v="0.83150000000000002"/>
    <n v="0"/>
    <n v="138.16999999999996"/>
    <n v="681.83"/>
    <n v="0"/>
    <n v="1354.0659999999998"/>
    <n v="6681.9340000000011"/>
  </r>
  <r>
    <n v="21"/>
    <x v="7"/>
    <x v="7"/>
    <x v="14"/>
    <n v="3033"/>
    <n v="8.6"/>
    <n v="0.1361"/>
    <n v="0.4"/>
    <n v="0.46389999999999998"/>
    <n v="412.79129999999998"/>
    <n v="1213.2000000000003"/>
    <n v="1407.0086999999999"/>
    <n v="3550.0051799999997"/>
    <n v="10433.520000000002"/>
    <n v="12100.274819999999"/>
  </r>
  <r>
    <n v="22"/>
    <x v="3"/>
    <x v="3"/>
    <x v="15"/>
    <n v="3232"/>
    <n v="8.6"/>
    <n v="0"/>
    <n v="0.5"/>
    <n v="0.5"/>
    <n v="0"/>
    <n v="1616"/>
    <n v="1616"/>
    <n v="0"/>
    <n v="13897.599999999999"/>
    <n v="13897.599999999999"/>
  </r>
  <r>
    <n v="23"/>
    <x v="11"/>
    <x v="11"/>
    <x v="15"/>
    <n v="3185"/>
    <n v="8.6"/>
    <n v="0.1"/>
    <n v="0.4"/>
    <n v="0.5"/>
    <n v="318.5"/>
    <n v="1274"/>
    <n v="1592.5"/>
    <n v="2739.1"/>
    <n v="10956.4"/>
    <n v="13695.5"/>
  </r>
  <r>
    <n v="24"/>
    <x v="12"/>
    <x v="12"/>
    <x v="16"/>
    <n v="4226"/>
    <n v="8.6"/>
    <n v="0.25"/>
    <n v="0.35"/>
    <n v="0.4"/>
    <n v="1056.5"/>
    <n v="1479.1"/>
    <n v="1690.4"/>
    <n v="9085.9"/>
    <n v="12720.259999999998"/>
    <n v="14537.44"/>
  </r>
  <r>
    <n v="25"/>
    <x v="2"/>
    <x v="2"/>
    <x v="16"/>
    <n v="2766"/>
    <n v="8.6"/>
    <n v="0.2"/>
    <n v="0.4"/>
    <n v="0.4"/>
    <n v="553.20000000000005"/>
    <n v="1106.3999999999999"/>
    <n v="1106.4000000000001"/>
    <n v="4757.5200000000004"/>
    <n v="9515.0399999999991"/>
    <n v="9515.0400000000009"/>
  </r>
  <r>
    <n v="26"/>
    <x v="13"/>
    <x v="13"/>
    <x v="16"/>
    <n v="2597"/>
    <n v="7.6"/>
    <n v="0.2"/>
    <n v="0.4"/>
    <n v="0.4"/>
    <n v="519.4"/>
    <n v="1038.8000000000002"/>
    <n v="1038.8"/>
    <n v="3947.4399999999996"/>
    <n v="7894.880000000001"/>
    <n v="7894.8799999999992"/>
  </r>
  <r>
    <n v="27"/>
    <x v="4"/>
    <x v="4"/>
    <x v="16"/>
    <n v="3236"/>
    <n v="8.3000000000000007"/>
    <n v="0.15"/>
    <n v="0.35"/>
    <n v="0.5"/>
    <n v="485.4"/>
    <n v="1132.5999999999999"/>
    <n v="1618"/>
    <n v="4028.82"/>
    <n v="9400.58"/>
    <n v="13429.400000000001"/>
  </r>
  <r>
    <n v="28"/>
    <x v="14"/>
    <x v="14"/>
    <x v="16"/>
    <n v="3821"/>
    <n v="8.6"/>
    <n v="0.2"/>
    <n v="0.4"/>
    <n v="0.4"/>
    <n v="764.2"/>
    <n v="1528.3999999999999"/>
    <n v="1528.4"/>
    <n v="6572.12"/>
    <n v="13144.239999999998"/>
    <n v="13144.24"/>
  </r>
  <r>
    <n v="29"/>
    <x v="15"/>
    <x v="15"/>
    <x v="16"/>
    <n v="4128"/>
    <n v="8.6"/>
    <n v="0.25"/>
    <n v="0.35"/>
    <n v="0.4"/>
    <n v="1032"/>
    <n v="1444.8000000000002"/>
    <n v="1651.2"/>
    <n v="8875.1999999999989"/>
    <n v="12425.28"/>
    <n v="14200.32"/>
  </r>
  <r>
    <n v="30"/>
    <x v="15"/>
    <x v="15"/>
    <x v="16"/>
    <n v="1917"/>
    <n v="6.6"/>
    <n v="0.25"/>
    <n v="0.35"/>
    <n v="0.4"/>
    <n v="479.25"/>
    <n v="670.94999999999982"/>
    <n v="766.80000000000007"/>
    <n v="3163.0499999999997"/>
    <n v="4428.2699999999986"/>
    <n v="5060.88"/>
  </r>
  <r>
    <n v="31"/>
    <x v="8"/>
    <x v="8"/>
    <x v="16"/>
    <n v="4091"/>
    <n v="7.5"/>
    <n v="0.2"/>
    <n v="0.4"/>
    <n v="0.4"/>
    <n v="818.2"/>
    <n v="1636.3999999999999"/>
    <n v="1636.4"/>
    <n v="6136.5"/>
    <n v="12272.999999999998"/>
    <n v="12273"/>
  </r>
  <r>
    <n v="32"/>
    <x v="16"/>
    <x v="16"/>
    <x v="16"/>
    <n v="3268"/>
    <n v="8.6"/>
    <n v="0.2"/>
    <n v="0.4"/>
    <n v="0.4"/>
    <n v="653.6"/>
    <n v="1307.1999999999998"/>
    <n v="1307.2"/>
    <n v="5620.96"/>
    <n v="11241.919999999998"/>
    <n v="11241.92"/>
  </r>
  <r>
    <n v="33"/>
    <x v="9"/>
    <x v="9"/>
    <x v="16"/>
    <n v="2438"/>
    <n v="8"/>
    <n v="0.2"/>
    <n v="0.4"/>
    <n v="0.4"/>
    <n v="487.6"/>
    <n v="975.19999999999993"/>
    <n v="975.2"/>
    <n v="3900.8"/>
    <n v="7801.5999999999995"/>
    <n v="7801.6"/>
  </r>
  <r>
    <n v="34"/>
    <x v="10"/>
    <x v="10"/>
    <x v="17"/>
    <n v="2213"/>
    <n v="7.5"/>
    <n v="0"/>
    <n v="0.36499999999999999"/>
    <n v="0.63500000000000001"/>
    <n v="0"/>
    <n v="807.74499999999989"/>
    <n v="1405.2550000000001"/>
    <n v="0"/>
    <n v="6058.0874999999996"/>
    <n v="10539.4125"/>
  </r>
  <r>
    <n v="35"/>
    <x v="1"/>
    <x v="1"/>
    <x v="18"/>
    <n v="2458"/>
    <n v="7.6"/>
    <n v="0"/>
    <n v="0.25"/>
    <n v="0.75"/>
    <n v="0"/>
    <n v="614.5"/>
    <n v="1843.5"/>
    <n v="0"/>
    <n v="4670.2"/>
    <n v="14010.599999999999"/>
  </r>
  <r>
    <n v="36"/>
    <x v="0"/>
    <x v="0"/>
    <x v="19"/>
    <n v="1199"/>
    <n v="7.5"/>
    <n v="0"/>
    <n v="0.5"/>
    <n v="0.5"/>
    <n v="0"/>
    <n v="599.5"/>
    <n v="599.5"/>
    <n v="0"/>
    <n v="4496.25"/>
    <n v="4496.25"/>
  </r>
  <r>
    <n v="37"/>
    <x v="5"/>
    <x v="5"/>
    <x v="19"/>
    <n v="2685"/>
    <n v="6.7"/>
    <n v="0.05"/>
    <n v="0.45"/>
    <n v="0.49999999999999994"/>
    <n v="134.25"/>
    <n v="1208.2500000000002"/>
    <n v="1342.4999999999998"/>
    <n v="899.47500000000002"/>
    <n v="8095.2750000000015"/>
    <n v="8994.7499999999982"/>
  </r>
  <r>
    <n v="38"/>
    <x v="17"/>
    <x v="17"/>
    <x v="19"/>
    <n v="588"/>
    <n v="7.5"/>
    <n v="0"/>
    <n v="0.5"/>
    <n v="0.5"/>
    <n v="0"/>
    <n v="294"/>
    <n v="294"/>
    <n v="0"/>
    <n v="2205"/>
    <n v="2205"/>
  </r>
  <r>
    <n v="39"/>
    <x v="17"/>
    <x v="17"/>
    <x v="20"/>
    <n v="384"/>
    <n v="4.7"/>
    <n v="0.1"/>
    <n v="0.4"/>
    <n v="0.5"/>
    <n v="38.400000000000006"/>
    <n v="153.6"/>
    <n v="192"/>
    <n v="180.48000000000005"/>
    <n v="721.92"/>
    <n v="902.40000000000009"/>
  </r>
  <r>
    <n v="40"/>
    <x v="7"/>
    <x v="7"/>
    <x v="21"/>
    <n v="2694"/>
    <n v="6.7"/>
    <n v="0.15"/>
    <n v="0.4"/>
    <n v="0.44999999999999996"/>
    <n v="404.09999999999997"/>
    <n v="1077.6000000000001"/>
    <n v="1212.3"/>
    <n v="2707.47"/>
    <n v="7219.920000000001"/>
    <n v="8122.41"/>
  </r>
  <r>
    <n v="41"/>
    <x v="18"/>
    <x v="18"/>
    <x v="21"/>
    <n v="788"/>
    <n v="6.3"/>
    <n v="0.1"/>
    <n v="0.4"/>
    <n v="0.5"/>
    <n v="78.800000000000011"/>
    <n v="315.2"/>
    <n v="394"/>
    <n v="496.44000000000005"/>
    <n v="1985.7599999999998"/>
    <n v="2482.1999999999998"/>
  </r>
  <r>
    <n v="42"/>
    <x v="12"/>
    <x v="12"/>
    <x v="22"/>
    <n v="2587"/>
    <n v="6.6"/>
    <n v="0.25"/>
    <n v="0.35"/>
    <n v="0.4"/>
    <n v="646.75"/>
    <n v="905.45"/>
    <n v="1034.8"/>
    <n v="4268.55"/>
    <n v="5975.97"/>
    <n v="6829.6799999999994"/>
  </r>
  <r>
    <n v="43"/>
    <x v="2"/>
    <x v="2"/>
    <x v="22"/>
    <n v="2280"/>
    <n v="6.6"/>
    <n v="0.2"/>
    <n v="0.4"/>
    <n v="0.4"/>
    <n v="456"/>
    <n v="912"/>
    <n v="912"/>
    <n v="3009.6"/>
    <n v="6019.2"/>
    <n v="6019.2"/>
  </r>
  <r>
    <n v="44"/>
    <x v="13"/>
    <x v="13"/>
    <x v="22"/>
    <n v="2630"/>
    <n v="6.6"/>
    <n v="0.2"/>
    <n v="0.4"/>
    <n v="0.4"/>
    <n v="526"/>
    <n v="1052"/>
    <n v="1052"/>
    <n v="3471.6"/>
    <n v="6943.2"/>
    <n v="6943.2"/>
  </r>
  <r>
    <n v="45"/>
    <x v="19"/>
    <x v="19"/>
    <x v="22"/>
    <n v="3788"/>
    <n v="6.6"/>
    <n v="0.2"/>
    <n v="0.4"/>
    <n v="0.4"/>
    <n v="757.6"/>
    <n v="1515.2000000000003"/>
    <n v="1515.2"/>
    <n v="5000.16"/>
    <n v="10000.320000000002"/>
    <n v="10000.32"/>
  </r>
  <r>
    <n v="46"/>
    <x v="14"/>
    <x v="14"/>
    <x v="22"/>
    <n v="2219"/>
    <n v="6.6"/>
    <n v="0.2"/>
    <n v="0.4"/>
    <n v="0.4"/>
    <n v="443.8"/>
    <n v="887.60000000000014"/>
    <n v="887.6"/>
    <n v="2929.08"/>
    <n v="5858.1600000000008"/>
    <n v="5858.16"/>
  </r>
  <r>
    <n v="47"/>
    <x v="8"/>
    <x v="8"/>
    <x v="22"/>
    <n v="2263"/>
    <n v="6.6"/>
    <n v="0.2"/>
    <n v="0.4"/>
    <n v="0.4"/>
    <n v="452.6"/>
    <n v="905.19999999999993"/>
    <n v="905.2"/>
    <n v="2987.16"/>
    <n v="5974.3199999999988"/>
    <n v="5974.32"/>
  </r>
  <r>
    <n v="48"/>
    <x v="16"/>
    <x v="16"/>
    <x v="22"/>
    <n v="1219"/>
    <n v="6.6"/>
    <n v="0.2"/>
    <n v="0.4"/>
    <n v="0.4"/>
    <n v="243.8"/>
    <n v="487.59999999999997"/>
    <n v="487.6"/>
    <n v="1609.08"/>
    <n v="3218.1599999999994"/>
    <n v="3218.16"/>
  </r>
  <r>
    <n v="49"/>
    <x v="9"/>
    <x v="9"/>
    <x v="22"/>
    <n v="1278"/>
    <n v="6.6"/>
    <n v="0.2"/>
    <n v="0.4"/>
    <n v="0.4"/>
    <n v="255.60000000000002"/>
    <n v="511.19999999999993"/>
    <n v="511.20000000000005"/>
    <n v="1686.96"/>
    <n v="3373.9199999999992"/>
    <n v="3373.92"/>
  </r>
  <r>
    <n v="50"/>
    <x v="6"/>
    <x v="6"/>
    <x v="23"/>
    <n v="2950"/>
    <n v="5.8"/>
    <n v="0.2"/>
    <n v="0.4"/>
    <n v="0.4"/>
    <n v="590"/>
    <n v="1180"/>
    <n v="1180"/>
    <n v="3422"/>
    <n v="6844"/>
    <n v="6844"/>
  </r>
  <r>
    <n v="51"/>
    <x v="3"/>
    <x v="3"/>
    <x v="24"/>
    <n v="948"/>
    <n v="6.4"/>
    <n v="0"/>
    <n v="0.4"/>
    <n v="0.6"/>
    <n v="0"/>
    <n v="379.20000000000005"/>
    <n v="568.79999999999995"/>
    <n v="0"/>
    <n v="2426.8800000000006"/>
    <n v="3640.3199999999997"/>
  </r>
  <r>
    <n v="52"/>
    <x v="11"/>
    <x v="11"/>
    <x v="24"/>
    <n v="1591"/>
    <n v="6.57"/>
    <n v="0.1"/>
    <n v="0.4"/>
    <n v="0.5"/>
    <n v="159.10000000000002"/>
    <n v="636.4"/>
    <n v="795.5"/>
    <n v="1045.2870000000003"/>
    <n v="4181.1480000000001"/>
    <n v="5226.4350000000004"/>
  </r>
  <r>
    <n v="53"/>
    <x v="20"/>
    <x v="20"/>
    <x v="24"/>
    <n v="989"/>
    <n v="4.3"/>
    <n v="0.15"/>
    <n v="0.25"/>
    <n v="0.6"/>
    <n v="148.35"/>
    <n v="247.25000000000003"/>
    <n v="593.4"/>
    <n v="637.90499999999997"/>
    <n v="1063.1750000000002"/>
    <n v="2551.62"/>
  </r>
  <r>
    <n v="54"/>
    <x v="4"/>
    <x v="4"/>
    <x v="24"/>
    <n v="2733"/>
    <n v="5"/>
    <n v="0.15"/>
    <n v="0.35"/>
    <n v="0.5"/>
    <n v="409.95"/>
    <n v="956.55"/>
    <n v="1366.5"/>
    <n v="2049.75"/>
    <n v="4782.75"/>
    <n v="6832.5"/>
  </r>
  <r>
    <n v="55"/>
    <x v="0"/>
    <x v="0"/>
    <x v="25"/>
    <n v="1895"/>
    <n v="6"/>
    <n v="0"/>
    <n v="1"/>
    <n v="0"/>
    <n v="0"/>
    <n v="1895"/>
    <n v="0"/>
    <n v="0"/>
    <n v="11370"/>
    <n v="0"/>
  </r>
  <r>
    <n v="56"/>
    <x v="1"/>
    <x v="1"/>
    <x v="26"/>
    <n v="830"/>
    <n v="6.7"/>
    <n v="0"/>
    <n v="0.5"/>
    <n v="0.5"/>
    <n v="0"/>
    <n v="415"/>
    <n v="415"/>
    <n v="0"/>
    <n v="2780.5"/>
    <n v="2780.5"/>
  </r>
  <r>
    <n v="57"/>
    <x v="21"/>
    <x v="21"/>
    <x v="26"/>
    <n v="1134"/>
    <n v="6.7"/>
    <n v="0.15"/>
    <n v="0.35"/>
    <n v="0.5"/>
    <n v="170.1"/>
    <n v="396.9"/>
    <n v="567"/>
    <n v="1139.67"/>
    <n v="2659.23"/>
    <n v="3798.9"/>
  </r>
  <r>
    <n v="58"/>
    <x v="5"/>
    <x v="5"/>
    <x v="27"/>
    <n v="3261"/>
    <n v="5.92"/>
    <n v="0"/>
    <n v="0.5"/>
    <n v="0.5"/>
    <n v="0"/>
    <n v="1630.5"/>
    <n v="1630.5"/>
    <n v="0"/>
    <n v="9652.56"/>
    <n v="9652.56"/>
  </r>
  <r>
    <n v="59"/>
    <x v="7"/>
    <x v="7"/>
    <x v="28"/>
    <n v="1348"/>
    <n v="4.7"/>
    <n v="0.1"/>
    <n v="0.4"/>
    <n v="0.5"/>
    <n v="134.80000000000001"/>
    <n v="539.20000000000005"/>
    <n v="674"/>
    <n v="633.56000000000006"/>
    <n v="2534.2400000000002"/>
    <n v="3167.8"/>
  </r>
  <r>
    <n v="60"/>
    <x v="7"/>
    <x v="7"/>
    <x v="29"/>
    <n v="132"/>
    <n v="3"/>
    <n v="0.1"/>
    <n v="0.4"/>
    <n v="0.5"/>
    <n v="13.200000000000001"/>
    <n v="52.8"/>
    <n v="66"/>
    <n v="39.6"/>
    <n v="158.39999999999998"/>
    <n v="198"/>
  </r>
  <r>
    <n v="61"/>
    <x v="3"/>
    <x v="3"/>
    <x v="30"/>
    <n v="2333"/>
    <n v="3.6"/>
    <n v="0"/>
    <n v="1"/>
    <n v="0"/>
    <n v="0"/>
    <n v="2333"/>
    <n v="0"/>
    <n v="0"/>
    <n v="8398.8000000000011"/>
    <n v="0"/>
  </r>
  <r>
    <n v="62"/>
    <x v="1"/>
    <x v="1"/>
    <x v="30"/>
    <n v="2689"/>
    <n v="3.6"/>
    <n v="0"/>
    <n v="1"/>
    <n v="0"/>
    <n v="0"/>
    <n v="2689"/>
    <n v="0"/>
    <n v="0"/>
    <n v="9680.4"/>
    <n v="0"/>
  </r>
  <r>
    <n v="63"/>
    <x v="21"/>
    <x v="21"/>
    <x v="30"/>
    <n v="2077"/>
    <n v="3.2"/>
    <n v="0.2"/>
    <n v="0.35"/>
    <n v="0.45000000000000007"/>
    <n v="415.40000000000003"/>
    <n v="726.94999999999982"/>
    <n v="934.65000000000009"/>
    <n v="1329.2800000000002"/>
    <n v="2326.2399999999993"/>
    <n v="2990.8800000000006"/>
  </r>
  <r>
    <n v="64"/>
    <x v="22"/>
    <x v="22"/>
    <x v="30"/>
    <n v="385"/>
    <n v="3"/>
    <n v="8.6499999999999994E-2"/>
    <n v="0.4"/>
    <n v="0.51349999999999996"/>
    <n v="33.302499999999995"/>
    <n v="154"/>
    <n v="197.69749999999999"/>
    <n v="99.907499999999985"/>
    <n v="462"/>
    <n v="593.09249999999997"/>
  </r>
  <r>
    <n v="65"/>
    <x v="20"/>
    <x v="20"/>
    <x v="30"/>
    <n v="1143"/>
    <n v="3"/>
    <n v="0.13650000000000001"/>
    <n v="0.35"/>
    <n v="0.51349999999999996"/>
    <n v="156.01950000000002"/>
    <n v="400.05000000000007"/>
    <n v="586.93049999999994"/>
    <n v="468.05850000000009"/>
    <n v="1200.1500000000001"/>
    <n v="1760.7914999999998"/>
  </r>
  <r>
    <n v="66"/>
    <x v="4"/>
    <x v="4"/>
    <x v="30"/>
    <n v="2211"/>
    <n v="3.5"/>
    <n v="0.15"/>
    <n v="0.35"/>
    <n v="0.5"/>
    <n v="331.65"/>
    <n v="773.85"/>
    <n v="1105.5"/>
    <n v="1160.7749999999999"/>
    <n v="2708.4749999999999"/>
    <n v="3869.25"/>
  </r>
  <r>
    <n v="67"/>
    <x v="23"/>
    <x v="23"/>
    <x v="31"/>
    <n v="5684"/>
    <n v="3.4"/>
    <n v="0.15"/>
    <n v="0.35"/>
    <n v="0.5"/>
    <n v="852.6"/>
    <n v="1989.4"/>
    <n v="2842"/>
    <n v="2898.84"/>
    <n v="6763.96"/>
    <n v="9662.7999999999993"/>
  </r>
  <r>
    <n v="68"/>
    <x v="6"/>
    <x v="6"/>
    <x v="31"/>
    <n v="393"/>
    <n v="3.4"/>
    <n v="0.15"/>
    <n v="0.35"/>
    <n v="0.5"/>
    <n v="58.949999999999996"/>
    <n v="137.55000000000001"/>
    <n v="196.5"/>
    <n v="200.42999999999998"/>
    <n v="467.67"/>
    <n v="668.1"/>
  </r>
  <r>
    <n v="69"/>
    <x v="24"/>
    <x v="24"/>
    <x v="32"/>
    <n v="2178"/>
    <n v="4"/>
    <n v="0.08"/>
    <n v="0.42"/>
    <n v="0.5"/>
    <n v="174.24"/>
    <n v="914.76"/>
    <n v="1089"/>
    <n v="696.96"/>
    <n v="3659.04"/>
    <n v="4356"/>
  </r>
  <r>
    <n v="70"/>
    <x v="25"/>
    <x v="25"/>
    <x v="33"/>
    <n v="536"/>
    <n v="4"/>
    <n v="0.15"/>
    <n v="0.35"/>
    <n v="0.5"/>
    <n v="80.399999999999991"/>
    <n v="187.60000000000002"/>
    <n v="268"/>
    <n v="321.59999999999997"/>
    <n v="750.40000000000009"/>
    <n v="1072"/>
  </r>
  <r>
    <n v="71"/>
    <x v="6"/>
    <x v="6"/>
    <x v="33"/>
    <n v="1510"/>
    <n v="4"/>
    <n v="0.1"/>
    <n v="0.4"/>
    <n v="0.5"/>
    <n v="151"/>
    <n v="604"/>
    <n v="755"/>
    <n v="604"/>
    <n v="2416"/>
    <n v="3020"/>
  </r>
  <r>
    <n v="72"/>
    <x v="5"/>
    <x v="5"/>
    <x v="34"/>
    <n v="2455"/>
    <n v="4.08"/>
    <n v="0"/>
    <n v="0.5"/>
    <n v="0.5"/>
    <n v="0"/>
    <n v="1227.5"/>
    <n v="1227.5"/>
    <n v="0"/>
    <n v="5008.2"/>
    <n v="5008.2"/>
  </r>
  <r>
    <n v="73"/>
    <x v="7"/>
    <x v="7"/>
    <x v="34"/>
    <n v="2277"/>
    <n v="4.08"/>
    <n v="0.05"/>
    <n v="0.35"/>
    <n v="0.6"/>
    <n v="113.85000000000001"/>
    <n v="796.94999999999993"/>
    <n v="1366.2"/>
    <n v="464.50800000000004"/>
    <n v="3251.5559999999996"/>
    <n v="5574.0960000000005"/>
  </r>
  <r>
    <n v="74"/>
    <x v="23"/>
    <x v="23"/>
    <x v="34"/>
    <n v="673"/>
    <n v="3.9"/>
    <n v="0.05"/>
    <n v="0.25"/>
    <n v="0.7"/>
    <n v="33.65"/>
    <n v="168.25000000000003"/>
    <n v="471.09999999999997"/>
    <n v="131.23499999999999"/>
    <n v="656.17500000000007"/>
    <n v="1837.2899999999997"/>
  </r>
  <r>
    <n v="75"/>
    <x v="25"/>
    <x v="25"/>
    <x v="34"/>
    <n v="759"/>
    <n v="3.9"/>
    <n v="0.05"/>
    <n v="0.35"/>
    <n v="0.6"/>
    <n v="37.950000000000003"/>
    <n v="265.65000000000003"/>
    <n v="455.4"/>
    <n v="148.005"/>
    <n v="1036.0350000000001"/>
    <n v="1776.06"/>
  </r>
  <r>
    <n v="76"/>
    <x v="22"/>
    <x v="22"/>
    <x v="34"/>
    <n v="1259"/>
    <n v="4"/>
    <n v="0.05"/>
    <n v="0.45"/>
    <n v="0.49999999999999994"/>
    <n v="62.95"/>
    <n v="566.55000000000007"/>
    <n v="629.49999999999989"/>
    <n v="251.8"/>
    <n v="2266.2000000000003"/>
    <n v="2517.9999999999995"/>
  </r>
  <r>
    <n v="77"/>
    <x v="26"/>
    <x v="26"/>
    <x v="34"/>
    <n v="1508"/>
    <n v="3.9"/>
    <n v="0.05"/>
    <n v="0.35"/>
    <n v="0.6"/>
    <n v="75.400000000000006"/>
    <n v="527.80000000000007"/>
    <n v="904.8"/>
    <n v="294.06"/>
    <n v="2058.42"/>
    <n v="3528.72"/>
  </r>
  <r>
    <n v="78"/>
    <x v="12"/>
    <x v="12"/>
    <x v="34"/>
    <n v="2390"/>
    <n v="3.9"/>
    <n v="0.05"/>
    <n v="0.35"/>
    <n v="0.6"/>
    <n v="119.5"/>
    <n v="836.5"/>
    <n v="1434"/>
    <n v="466.05"/>
    <n v="3262.35"/>
    <n v="5592.5999999999995"/>
  </r>
  <r>
    <n v="79"/>
    <x v="2"/>
    <x v="2"/>
    <x v="34"/>
    <n v="1887"/>
    <n v="4"/>
    <n v="0.05"/>
    <n v="0.35"/>
    <n v="0.6"/>
    <n v="94.350000000000009"/>
    <n v="660.44999999999993"/>
    <n v="1132.2"/>
    <n v="377.40000000000003"/>
    <n v="2641.7999999999997"/>
    <n v="4528.8"/>
  </r>
  <r>
    <n v="80"/>
    <x v="13"/>
    <x v="13"/>
    <x v="34"/>
    <n v="2590"/>
    <n v="4"/>
    <n v="0.05"/>
    <n v="0.35"/>
    <n v="0.6"/>
    <n v="129.5"/>
    <n v="906.5"/>
    <n v="1554"/>
    <n v="518"/>
    <n v="3626"/>
    <n v="6216"/>
  </r>
  <r>
    <n v="81"/>
    <x v="19"/>
    <x v="19"/>
    <x v="34"/>
    <n v="1635"/>
    <n v="4"/>
    <n v="0.05"/>
    <n v="0.25"/>
    <n v="0.7"/>
    <n v="81.75"/>
    <n v="408.75"/>
    <n v="1144.5"/>
    <n v="327"/>
    <n v="1635"/>
    <n v="4578"/>
  </r>
  <r>
    <n v="82"/>
    <x v="27"/>
    <x v="27"/>
    <x v="34"/>
    <n v="1701"/>
    <n v="4"/>
    <n v="0.05"/>
    <n v="0.35"/>
    <n v="0.6"/>
    <n v="85.050000000000011"/>
    <n v="595.35000000000014"/>
    <n v="1020.5999999999999"/>
    <n v="340.20000000000005"/>
    <n v="2381.4000000000005"/>
    <n v="4082.3999999999996"/>
  </r>
  <r>
    <n v="83"/>
    <x v="27"/>
    <x v="27"/>
    <x v="34"/>
    <n v="286"/>
    <n v="4"/>
    <n v="0.1"/>
    <n v="0.4"/>
    <n v="0.5"/>
    <n v="28.6"/>
    <n v="114.4"/>
    <n v="143"/>
    <n v="114.4"/>
    <n v="457.6"/>
    <n v="572"/>
  </r>
  <r>
    <n v="84"/>
    <x v="15"/>
    <x v="15"/>
    <x v="34"/>
    <n v="1851"/>
    <n v="3.9"/>
    <n v="0.05"/>
    <n v="0.35"/>
    <n v="0.6"/>
    <n v="92.550000000000011"/>
    <n v="647.85000000000014"/>
    <n v="1110.5999999999999"/>
    <n v="360.94500000000005"/>
    <n v="2526.6150000000007"/>
    <n v="4331.3399999999992"/>
  </r>
  <r>
    <n v="85"/>
    <x v="8"/>
    <x v="8"/>
    <x v="34"/>
    <n v="1798"/>
    <n v="3.3"/>
    <n v="0.05"/>
    <n v="0.35"/>
    <n v="0.6"/>
    <n v="89.9"/>
    <n v="629.30000000000007"/>
    <n v="1078.8"/>
    <n v="296.67"/>
    <n v="2076.69"/>
    <n v="3560.0399999999995"/>
  </r>
  <r>
    <n v="86"/>
    <x v="28"/>
    <x v="28"/>
    <x v="34"/>
    <n v="240"/>
    <n v="3.9"/>
    <n v="0.05"/>
    <n v="0.25"/>
    <n v="0.7"/>
    <n v="12"/>
    <n v="60"/>
    <n v="168"/>
    <n v="46.8"/>
    <n v="234"/>
    <n v="655.19999999999993"/>
  </r>
  <r>
    <n v="87"/>
    <x v="29"/>
    <x v="29"/>
    <x v="35"/>
    <n v="750"/>
    <n v="3.63"/>
    <n v="0.15"/>
    <n v="0.35"/>
    <n v="0.5"/>
    <n v="112.5"/>
    <n v="262.5"/>
    <n v="375"/>
    <n v="408.375"/>
    <n v="952.875"/>
    <n v="1361.25"/>
  </r>
  <r>
    <n v="88"/>
    <x v="30"/>
    <x v="30"/>
    <x v="36"/>
    <n v="1906"/>
    <n v="3.5"/>
    <n v="0.15"/>
    <n v="0.35"/>
    <n v="0.5"/>
    <n v="285.89999999999998"/>
    <n v="667.1"/>
    <n v="953"/>
    <n v="1000.6499999999999"/>
    <n v="2334.85"/>
    <n v="3335.5"/>
  </r>
  <r>
    <n v="89"/>
    <x v="1"/>
    <x v="1"/>
    <x v="37"/>
    <n v="3131"/>
    <n v="3.4"/>
    <n v="0"/>
    <n v="1"/>
    <n v="0"/>
    <n v="0"/>
    <n v="3131"/>
    <n v="0"/>
    <n v="0"/>
    <n v="10645.4"/>
    <n v="0"/>
  </r>
  <r>
    <n v="90"/>
    <x v="21"/>
    <x v="21"/>
    <x v="38"/>
    <n v="2328"/>
    <n v="3.6"/>
    <n v="0.2"/>
    <n v="0.35"/>
    <n v="0.45000000000000007"/>
    <n v="465.6"/>
    <n v="814.79999999999984"/>
    <n v="1047.6000000000001"/>
    <n v="1676.16"/>
    <n v="2933.2799999999993"/>
    <n v="3771.3600000000006"/>
  </r>
  <r>
    <n v="91"/>
    <x v="18"/>
    <x v="18"/>
    <x v="38"/>
    <n v="2434"/>
    <n v="3.6"/>
    <n v="0.1"/>
    <n v="0.4"/>
    <n v="0.5"/>
    <n v="243.4"/>
    <n v="973.6"/>
    <n v="1217"/>
    <n v="876.24"/>
    <n v="3504.96"/>
    <n v="4381.2"/>
  </r>
  <r>
    <n v="92"/>
    <x v="20"/>
    <x v="20"/>
    <x v="38"/>
    <n v="2634"/>
    <n v="3.6"/>
    <n v="0.127"/>
    <n v="0.35"/>
    <n v="0.52300000000000002"/>
    <n v="334.51800000000003"/>
    <n v="921.89999999999986"/>
    <n v="1377.5820000000001"/>
    <n v="1204.2648000000002"/>
    <n v="3318.8399999999997"/>
    <n v="4959.2952000000005"/>
  </r>
  <r>
    <n v="93"/>
    <x v="4"/>
    <x v="4"/>
    <x v="38"/>
    <n v="2276"/>
    <n v="3.6"/>
    <n v="0.15"/>
    <n v="0.35"/>
    <n v="0.5"/>
    <n v="341.4"/>
    <n v="796.6"/>
    <n v="1138"/>
    <n v="1229.04"/>
    <n v="2867.76"/>
    <n v="4096.8"/>
  </r>
  <r>
    <n v="94"/>
    <x v="0"/>
    <x v="0"/>
    <x v="39"/>
    <n v="3984"/>
    <n v="3.6"/>
    <n v="0"/>
    <n v="1"/>
    <n v="0"/>
    <n v="0"/>
    <n v="3984"/>
    <n v="0"/>
    <n v="0"/>
    <n v="14342.4"/>
    <n v="0"/>
  </r>
  <r>
    <n v="95"/>
    <x v="24"/>
    <x v="24"/>
    <x v="40"/>
    <n v="3161"/>
    <n v="3.3"/>
    <n v="0.08"/>
    <n v="0.42"/>
    <n v="0.5"/>
    <n v="252.88"/>
    <n v="1327.62"/>
    <n v="1580.5"/>
    <n v="834.50399999999991"/>
    <n v="4381.1459999999997"/>
    <n v="5215.6499999999996"/>
  </r>
  <r>
    <n v="96"/>
    <x v="25"/>
    <x v="25"/>
    <x v="40"/>
    <n v="2321"/>
    <n v="3.3"/>
    <n v="0.25"/>
    <n v="0.35"/>
    <n v="0.4"/>
    <n v="580.25"/>
    <n v="812.34999999999991"/>
    <n v="928.40000000000009"/>
    <n v="1914.8249999999998"/>
    <n v="2680.7549999999997"/>
    <n v="3063.7200000000003"/>
  </r>
  <r>
    <n v="97"/>
    <x v="5"/>
    <x v="5"/>
    <x v="41"/>
    <n v="3064"/>
    <n v="3.5"/>
    <n v="0"/>
    <n v="0.5"/>
    <n v="0.5"/>
    <n v="0"/>
    <n v="1532"/>
    <n v="1532"/>
    <n v="0"/>
    <n v="5362"/>
    <n v="5362"/>
  </r>
  <r>
    <n v="98"/>
    <x v="7"/>
    <x v="7"/>
    <x v="41"/>
    <n v="2061"/>
    <n v="3.3"/>
    <n v="0.05"/>
    <n v="0.35"/>
    <n v="0.6"/>
    <n v="103.05000000000001"/>
    <n v="721.35000000000014"/>
    <n v="1236.5999999999999"/>
    <n v="340.065"/>
    <n v="2380.4550000000004"/>
    <n v="4080.7799999999993"/>
  </r>
  <r>
    <n v="99"/>
    <x v="12"/>
    <x v="12"/>
    <x v="41"/>
    <n v="3383"/>
    <n v="3.3"/>
    <n v="0.05"/>
    <n v="0.35"/>
    <n v="0.6"/>
    <n v="169.15"/>
    <n v="1184.05"/>
    <n v="2029.8"/>
    <n v="558.19499999999994"/>
    <n v="3907.3649999999998"/>
    <n v="6698.3399999999992"/>
  </r>
  <r>
    <n v="100"/>
    <x v="2"/>
    <x v="2"/>
    <x v="41"/>
    <n v="1984"/>
    <n v="3.3"/>
    <n v="0.05"/>
    <n v="0.35"/>
    <n v="0.6"/>
    <n v="99.2"/>
    <n v="694.40000000000009"/>
    <n v="1190.3999999999999"/>
    <n v="327.36"/>
    <n v="2291.52"/>
    <n v="3928.3199999999993"/>
  </r>
  <r>
    <n v="101"/>
    <x v="13"/>
    <x v="13"/>
    <x v="41"/>
    <n v="1780"/>
    <n v="3.3"/>
    <n v="0.05"/>
    <n v="0.35"/>
    <n v="0.6"/>
    <n v="89"/>
    <n v="623"/>
    <n v="1068"/>
    <n v="293.7"/>
    <n v="2055.9"/>
    <n v="3524.3999999999996"/>
  </r>
  <r>
    <n v="102"/>
    <x v="19"/>
    <x v="19"/>
    <x v="41"/>
    <n v="1877"/>
    <n v="3.3"/>
    <n v="0.05"/>
    <n v="0.35"/>
    <n v="0.6"/>
    <n v="93.850000000000009"/>
    <n v="656.94999999999993"/>
    <n v="1126.2"/>
    <n v="309.70499999999998"/>
    <n v="2167.9349999999995"/>
    <n v="3716.46"/>
  </r>
  <r>
    <n v="103"/>
    <x v="27"/>
    <x v="27"/>
    <x v="41"/>
    <n v="1469"/>
    <n v="3.3"/>
    <n v="0.05"/>
    <n v="0.35"/>
    <n v="0.6"/>
    <n v="73.45"/>
    <n v="514.15"/>
    <n v="881.4"/>
    <n v="242.38499999999999"/>
    <n v="1696.6949999999999"/>
    <n v="2908.62"/>
  </r>
  <r>
    <n v="104"/>
    <x v="15"/>
    <x v="15"/>
    <x v="41"/>
    <n v="1459"/>
    <n v="3.3"/>
    <n v="0.05"/>
    <n v="0.25"/>
    <n v="0.7"/>
    <n v="72.95"/>
    <n v="364.75000000000006"/>
    <n v="1021.3"/>
    <n v="240.73499999999999"/>
    <n v="1203.6750000000002"/>
    <n v="3370.2899999999995"/>
  </r>
  <r>
    <n v="105"/>
    <x v="26"/>
    <x v="26"/>
    <x v="42"/>
    <n v="2385"/>
    <n v="3.3"/>
    <n v="0.05"/>
    <n v="0.35"/>
    <n v="0.6"/>
    <n v="119.25"/>
    <n v="834.75"/>
    <n v="1431"/>
    <n v="393.52499999999998"/>
    <n v="2754.6749999999997"/>
    <n v="4722.3"/>
  </r>
  <r>
    <n v="106"/>
    <x v="8"/>
    <x v="8"/>
    <x v="42"/>
    <n v="1902"/>
    <n v="3.3"/>
    <n v="0.05"/>
    <n v="0.35"/>
    <n v="0.6"/>
    <n v="95.100000000000009"/>
    <n v="665.69999999999993"/>
    <n v="1141.2"/>
    <n v="313.83"/>
    <n v="2196.8099999999995"/>
    <n v="3765.96"/>
  </r>
  <r>
    <n v="107"/>
    <x v="3"/>
    <x v="3"/>
    <x v="43"/>
    <n v="3486"/>
    <n v="3.2"/>
    <n v="0"/>
    <n v="1"/>
    <n v="0"/>
    <n v="0"/>
    <n v="3486"/>
    <n v="0"/>
    <n v="0"/>
    <n v="11155.2"/>
    <n v="0"/>
  </r>
  <r>
    <n v="108"/>
    <x v="22"/>
    <x v="22"/>
    <x v="43"/>
    <n v="1481"/>
    <n v="3.2"/>
    <n v="0.05"/>
    <n v="0.45"/>
    <n v="0.49999999999999994"/>
    <n v="74.05"/>
    <n v="666.45000000000016"/>
    <n v="740.49999999999989"/>
    <n v="236.96"/>
    <n v="2132.6400000000008"/>
    <n v="2369.6"/>
  </r>
  <r>
    <n v="109"/>
    <x v="30"/>
    <x v="30"/>
    <x v="43"/>
    <n v="1625"/>
    <n v="3.1"/>
    <n v="0.05"/>
    <n v="0.35"/>
    <n v="0.6"/>
    <n v="81.25"/>
    <n v="568.75"/>
    <n v="975"/>
    <n v="251.875"/>
    <n v="1763.125"/>
    <n v="3022.5"/>
  </r>
  <r>
    <n v="110"/>
    <x v="0"/>
    <x v="0"/>
    <x v="44"/>
    <n v="3998"/>
    <n v="3.8"/>
    <n v="0"/>
    <n v="1"/>
    <n v="0"/>
    <n v="0"/>
    <n v="3998"/>
    <n v="0"/>
    <n v="0"/>
    <n v="15192.4"/>
    <n v="0"/>
  </r>
  <r>
    <n v="111"/>
    <x v="1"/>
    <x v="1"/>
    <x v="44"/>
    <n v="3399"/>
    <n v="3.4"/>
    <n v="0"/>
    <n v="1"/>
    <n v="0"/>
    <n v="0"/>
    <n v="3399"/>
    <n v="0"/>
    <n v="0"/>
    <n v="11556.6"/>
    <n v="0"/>
  </r>
  <r>
    <n v="112"/>
    <x v="21"/>
    <x v="21"/>
    <x v="44"/>
    <n v="1971"/>
    <n v="4"/>
    <n v="0.2"/>
    <n v="0.35"/>
    <n v="0.45000000000000007"/>
    <n v="394.20000000000005"/>
    <n v="689.84999999999968"/>
    <n v="886.95000000000016"/>
    <n v="1576.8000000000002"/>
    <n v="2759.3999999999987"/>
    <n v="3547.8000000000006"/>
  </r>
  <r>
    <n v="113"/>
    <x v="18"/>
    <x v="18"/>
    <x v="44"/>
    <n v="2433"/>
    <n v="4"/>
    <n v="0.1"/>
    <n v="0.4"/>
    <n v="0.5"/>
    <n v="243.3"/>
    <n v="973.2"/>
    <n v="1216.5"/>
    <n v="973.2"/>
    <n v="3892.8"/>
    <n v="4866"/>
  </r>
  <r>
    <n v="114"/>
    <x v="20"/>
    <x v="20"/>
    <x v="44"/>
    <n v="2460"/>
    <n v="4"/>
    <n v="0.1"/>
    <n v="0.4"/>
    <n v="0.5"/>
    <n v="246"/>
    <n v="984"/>
    <n v="1230"/>
    <n v="984"/>
    <n v="3936"/>
    <n v="4920"/>
  </r>
  <r>
    <n v="115"/>
    <x v="4"/>
    <x v="4"/>
    <x v="44"/>
    <n v="2209"/>
    <n v="3.7"/>
    <n v="0.15"/>
    <n v="0.35"/>
    <n v="0.5"/>
    <n v="331.34999999999997"/>
    <n v="773.15000000000009"/>
    <n v="1104.5"/>
    <n v="1225.9949999999999"/>
    <n v="2860.6550000000007"/>
    <n v="4086.65"/>
  </r>
  <r>
    <n v="116"/>
    <x v="24"/>
    <x v="24"/>
    <x v="45"/>
    <n v="3008"/>
    <n v="3.54"/>
    <n v="0.08"/>
    <n v="0.42"/>
    <n v="0.5"/>
    <n v="240.64000000000001"/>
    <n v="1263.3599999999999"/>
    <n v="1504"/>
    <n v="851.86560000000009"/>
    <n v="4472.2943999999998"/>
    <n v="5324.16"/>
  </r>
  <r>
    <n v="117"/>
    <x v="25"/>
    <x v="25"/>
    <x v="46"/>
    <n v="2517"/>
    <n v="3.47"/>
    <n v="0.25"/>
    <n v="0.35"/>
    <n v="0.4"/>
    <n v="629.25"/>
    <n v="880.94999999999982"/>
    <n v="1006.8000000000001"/>
    <n v="2183.4974999999999"/>
    <n v="3056.8964999999994"/>
    <n v="3493.5960000000005"/>
  </r>
  <r>
    <n v="118"/>
    <x v="5"/>
    <x v="5"/>
    <x v="47"/>
    <n v="2566"/>
    <n v="4.2"/>
    <n v="0"/>
    <n v="0.5"/>
    <n v="0.5"/>
    <n v="0"/>
    <n v="1283"/>
    <n v="1283"/>
    <n v="0"/>
    <n v="5388.6"/>
    <n v="5388.6"/>
  </r>
  <r>
    <n v="119"/>
    <x v="7"/>
    <x v="7"/>
    <x v="47"/>
    <n v="2806"/>
    <n v="4.2"/>
    <n v="0.05"/>
    <n v="0.35"/>
    <n v="0.6"/>
    <n v="140.30000000000001"/>
    <n v="982.10000000000014"/>
    <n v="1683.6"/>
    <n v="589.2600000000001"/>
    <n v="4124.8200000000006"/>
    <n v="7071.12"/>
  </r>
  <r>
    <n v="120"/>
    <x v="26"/>
    <x v="26"/>
    <x v="47"/>
    <n v="2287"/>
    <n v="4.2"/>
    <n v="0.05"/>
    <n v="0.35"/>
    <n v="0.6"/>
    <n v="114.35000000000001"/>
    <n v="800.44999999999993"/>
    <n v="1372.2"/>
    <n v="480.27000000000004"/>
    <n v="3361.89"/>
    <n v="5763.2400000000007"/>
  </r>
  <r>
    <n v="121"/>
    <x v="12"/>
    <x v="12"/>
    <x v="47"/>
    <n v="2364"/>
    <n v="4"/>
    <n v="0.05"/>
    <n v="0.35"/>
    <n v="0.6"/>
    <n v="118.2"/>
    <n v="827.40000000000009"/>
    <n v="1418.3999999999999"/>
    <n v="472.8"/>
    <n v="3309.6000000000004"/>
    <n v="5673.5999999999995"/>
  </r>
  <r>
    <n v="122"/>
    <x v="2"/>
    <x v="2"/>
    <x v="47"/>
    <n v="2315"/>
    <n v="4"/>
    <n v="0.05"/>
    <n v="0.35"/>
    <n v="0.6"/>
    <n v="115.75"/>
    <n v="810.25"/>
    <n v="1389"/>
    <n v="463"/>
    <n v="3241"/>
    <n v="5556"/>
  </r>
  <r>
    <n v="123"/>
    <x v="11"/>
    <x v="11"/>
    <x v="47"/>
    <n v="2258"/>
    <n v="4"/>
    <n v="0.13"/>
    <n v="0.37"/>
    <n v="0.5"/>
    <n v="293.54000000000002"/>
    <n v="835.46"/>
    <n v="1129"/>
    <n v="1174.1600000000001"/>
    <n v="3341.84"/>
    <n v="4516"/>
  </r>
  <r>
    <n v="124"/>
    <x v="13"/>
    <x v="13"/>
    <x v="47"/>
    <n v="2482"/>
    <n v="4"/>
    <n v="0.05"/>
    <n v="0.35"/>
    <n v="0.6"/>
    <n v="124.10000000000001"/>
    <n v="868.69999999999993"/>
    <n v="1489.2"/>
    <n v="496.40000000000003"/>
    <n v="3474.7999999999997"/>
    <n v="5956.8"/>
  </r>
  <r>
    <n v="125"/>
    <x v="19"/>
    <x v="19"/>
    <x v="47"/>
    <n v="1369"/>
    <n v="4"/>
    <n v="0.05"/>
    <n v="0.25"/>
    <n v="0.7"/>
    <n v="68.45"/>
    <n v="342.25000000000006"/>
    <n v="958.3"/>
    <n v="273.8"/>
    <n v="1369.0000000000002"/>
    <n v="3833.2"/>
  </r>
  <r>
    <n v="126"/>
    <x v="27"/>
    <x v="27"/>
    <x v="47"/>
    <n v="1871"/>
    <n v="4.2"/>
    <n v="0.05"/>
    <n v="0.35"/>
    <n v="0.6"/>
    <n v="93.550000000000011"/>
    <n v="654.85000000000014"/>
    <n v="1122.5999999999999"/>
    <n v="392.91000000000008"/>
    <n v="2750.3700000000008"/>
    <n v="4714.92"/>
  </r>
  <r>
    <n v="127"/>
    <x v="15"/>
    <x v="15"/>
    <x v="47"/>
    <n v="2072"/>
    <n v="4"/>
    <n v="0.05"/>
    <n v="0.35"/>
    <n v="0.6"/>
    <n v="103.60000000000001"/>
    <n v="725.19999999999993"/>
    <n v="1243.2"/>
    <n v="414.40000000000003"/>
    <n v="2900.7999999999997"/>
    <n v="4972.8"/>
  </r>
  <r>
    <n v="128"/>
    <x v="8"/>
    <x v="8"/>
    <x v="47"/>
    <n v="2534"/>
    <n v="4.2"/>
    <n v="0.05"/>
    <n v="0.35"/>
    <n v="0.6"/>
    <n v="126.7"/>
    <n v="886.90000000000009"/>
    <n v="1520.3999999999999"/>
    <n v="532.14"/>
    <n v="3724.9800000000005"/>
    <n v="6385.6799999999994"/>
  </r>
  <r>
    <n v="129"/>
    <x v="30"/>
    <x v="30"/>
    <x v="48"/>
    <n v="1491"/>
    <n v="3"/>
    <n v="0.05"/>
    <n v="0.35"/>
    <n v="0.6"/>
    <n v="74.55"/>
    <n v="521.85"/>
    <n v="894.6"/>
    <n v="223.64999999999998"/>
    <n v="1565.5500000000002"/>
    <n v="2683.8"/>
  </r>
  <r>
    <n v="130"/>
    <x v="27"/>
    <x v="27"/>
    <x v="48"/>
    <n v="9"/>
    <n v="3"/>
    <n v="0.05"/>
    <n v="0.35"/>
    <n v="0.6"/>
    <n v="0.45"/>
    <n v="3.1500000000000004"/>
    <n v="5.3999999999999995"/>
    <n v="1.35"/>
    <n v="9.4500000000000011"/>
    <n v="16.2"/>
  </r>
  <r>
    <n v="131"/>
    <x v="31"/>
    <x v="31"/>
    <x v="48"/>
    <n v="79"/>
    <n v="3"/>
    <n v="0.05"/>
    <n v="0.35"/>
    <n v="0.6"/>
    <n v="3.95"/>
    <n v="27.650000000000002"/>
    <n v="47.4"/>
    <n v="11.850000000000001"/>
    <n v="82.95"/>
    <n v="142.19999999999999"/>
  </r>
  <r>
    <n v="132"/>
    <x v="25"/>
    <x v="25"/>
    <x v="49"/>
    <n v="1847"/>
    <n v="4.3"/>
    <n v="0.15"/>
    <n v="0.35"/>
    <n v="0.5"/>
    <n v="277.05"/>
    <n v="646.45000000000005"/>
    <n v="923.5"/>
    <n v="1191.3150000000001"/>
    <n v="2779.7350000000001"/>
    <n v="3971.0499999999997"/>
  </r>
  <r>
    <n v="133"/>
    <x v="12"/>
    <x v="12"/>
    <x v="49"/>
    <n v="3862"/>
    <n v="4.3"/>
    <n v="0.15"/>
    <n v="0.35"/>
    <n v="0.5"/>
    <n v="579.29999999999995"/>
    <n v="1351.7"/>
    <n v="1931"/>
    <n v="2490.9899999999998"/>
    <n v="5812.31"/>
    <n v="8303.2999999999993"/>
  </r>
  <r>
    <n v="134"/>
    <x v="2"/>
    <x v="2"/>
    <x v="49"/>
    <n v="2180"/>
    <n v="4.3"/>
    <n v="0.1"/>
    <n v="0.4"/>
    <n v="0.5"/>
    <n v="218"/>
    <n v="872"/>
    <n v="1090"/>
    <n v="937.4"/>
    <n v="3749.6"/>
    <n v="4687"/>
  </r>
  <r>
    <n v="135"/>
    <x v="13"/>
    <x v="13"/>
    <x v="49"/>
    <n v="4200"/>
    <n v="4.3"/>
    <n v="0.1"/>
    <n v="0.4"/>
    <n v="0.5"/>
    <n v="420"/>
    <n v="1680"/>
    <n v="2100"/>
    <n v="1806"/>
    <n v="7224"/>
    <n v="9030"/>
  </r>
  <r>
    <n v="136"/>
    <x v="19"/>
    <x v="19"/>
    <x v="49"/>
    <n v="1846"/>
    <n v="4.3"/>
    <n v="0.1"/>
    <n v="0.4"/>
    <n v="0.5"/>
    <n v="184.60000000000002"/>
    <n v="738.4"/>
    <n v="923"/>
    <n v="793.78000000000009"/>
    <n v="3175.12"/>
    <n v="3968.8999999999996"/>
  </r>
  <r>
    <n v="137"/>
    <x v="27"/>
    <x v="27"/>
    <x v="49"/>
    <n v="1444"/>
    <n v="4.2"/>
    <n v="0.1"/>
    <n v="0.4"/>
    <n v="0.5"/>
    <n v="144.4"/>
    <n v="577.6"/>
    <n v="722"/>
    <n v="606.48"/>
    <n v="2425.92"/>
    <n v="3032.4"/>
  </r>
  <r>
    <n v="138"/>
    <x v="15"/>
    <x v="15"/>
    <x v="49"/>
    <n v="2287"/>
    <n v="4.3"/>
    <n v="0.1"/>
    <n v="0.4"/>
    <n v="0.5"/>
    <n v="228.70000000000002"/>
    <n v="914.8"/>
    <n v="1143.5"/>
    <n v="983.41000000000008"/>
    <n v="3933.6399999999994"/>
    <n v="4917.05"/>
  </r>
  <r>
    <n v="139"/>
    <x v="8"/>
    <x v="8"/>
    <x v="49"/>
    <n v="2525"/>
    <n v="4.3"/>
    <n v="0.1"/>
    <n v="0.4"/>
    <n v="0.5"/>
    <n v="252.5"/>
    <n v="1010"/>
    <n v="1262.5"/>
    <n v="1085.75"/>
    <n v="4343"/>
    <n v="5428.75"/>
  </r>
  <r>
    <n v="140"/>
    <x v="22"/>
    <x v="22"/>
    <x v="50"/>
    <n v="1898"/>
    <n v="3.4"/>
    <n v="0.05"/>
    <n v="0.45"/>
    <n v="0.49999999999999994"/>
    <n v="94.9"/>
    <n v="854.10000000000014"/>
    <n v="948.99999999999989"/>
    <n v="322.66000000000003"/>
    <n v="2903.9400000000005"/>
    <n v="3226.5999999999995"/>
  </r>
  <r>
    <n v="141"/>
    <x v="21"/>
    <x v="21"/>
    <x v="51"/>
    <n v="2074"/>
    <n v="3.4"/>
    <n v="0.2"/>
    <n v="0.35"/>
    <n v="0.45000000000000007"/>
    <n v="414.8"/>
    <n v="725.89999999999986"/>
    <n v="933.30000000000018"/>
    <n v="1410.32"/>
    <n v="2468.0599999999995"/>
    <n v="3173.2200000000007"/>
  </r>
  <r>
    <n v="142"/>
    <x v="1"/>
    <x v="1"/>
    <x v="52"/>
    <n v="3236"/>
    <n v="3.4"/>
    <n v="0"/>
    <n v="1"/>
    <n v="0"/>
    <n v="0"/>
    <n v="3236"/>
    <n v="0"/>
    <n v="0"/>
    <n v="11002.4"/>
    <n v="0"/>
  </r>
  <r>
    <n v="143"/>
    <x v="20"/>
    <x v="20"/>
    <x v="52"/>
    <n v="2348"/>
    <n v="3.5"/>
    <n v="0.1"/>
    <n v="0.4"/>
    <n v="0.5"/>
    <n v="234.8"/>
    <n v="939.2"/>
    <n v="1174"/>
    <n v="821.80000000000007"/>
    <n v="3287.2000000000003"/>
    <n v="4109"/>
  </r>
  <r>
    <n v="144"/>
    <x v="1"/>
    <x v="1"/>
    <x v="53"/>
    <n v="3414"/>
    <n v="4"/>
    <n v="0"/>
    <n v="1"/>
    <n v="0"/>
    <n v="0"/>
    <n v="3414"/>
    <n v="0"/>
    <n v="0"/>
    <n v="13656"/>
    <n v="0"/>
  </r>
  <r>
    <n v="145"/>
    <x v="18"/>
    <x v="18"/>
    <x v="52"/>
    <n v="2825"/>
    <n v="3.09"/>
    <n v="0.1"/>
    <n v="0.4"/>
    <n v="0.5"/>
    <n v="282.5"/>
    <n v="1130"/>
    <n v="1412.5"/>
    <n v="872.92499999999995"/>
    <n v="3491.7"/>
    <n v="4364.625"/>
  </r>
  <r>
    <n v="146"/>
    <x v="11"/>
    <x v="11"/>
    <x v="52"/>
    <n v="1648"/>
    <n v="4.2"/>
    <n v="0.1"/>
    <n v="0.4"/>
    <n v="0.5"/>
    <n v="164.8"/>
    <n v="659.2"/>
    <n v="824"/>
    <n v="692.16000000000008"/>
    <n v="2768.6400000000003"/>
    <n v="3460.8"/>
  </r>
  <r>
    <n v="147"/>
    <x v="20"/>
    <x v="20"/>
    <x v="52"/>
    <n v="2009"/>
    <n v="4"/>
    <n v="0.15"/>
    <n v="0.35"/>
    <n v="0.5"/>
    <n v="301.34999999999997"/>
    <n v="703.15000000000009"/>
    <n v="1004.5"/>
    <n v="1205.3999999999999"/>
    <n v="2812.6000000000004"/>
    <n v="4018"/>
  </r>
  <r>
    <n v="148"/>
    <x v="32"/>
    <x v="32"/>
    <x v="52"/>
    <n v="639"/>
    <n v="3"/>
    <n v="0.15"/>
    <n v="0.35"/>
    <n v="0.5"/>
    <n v="95.85"/>
    <n v="223.65"/>
    <n v="319.5"/>
    <n v="287.54999999999995"/>
    <n v="670.95"/>
    <n v="958.5"/>
  </r>
  <r>
    <n v="149"/>
    <x v="18"/>
    <x v="18"/>
    <x v="54"/>
    <n v="2413"/>
    <n v="3.3"/>
    <n v="0.1"/>
    <n v="0.4"/>
    <n v="0.5"/>
    <n v="241.3"/>
    <n v="965.2"/>
    <n v="1206.5"/>
    <n v="796.29"/>
    <n v="3185.16"/>
    <n v="3981.45"/>
  </r>
  <r>
    <n v="150"/>
    <x v="0"/>
    <x v="0"/>
    <x v="54"/>
    <n v="3257"/>
    <n v="4.3"/>
    <n v="0"/>
    <n v="1"/>
    <n v="0"/>
    <n v="0"/>
    <n v="3257"/>
    <n v="0"/>
    <n v="0"/>
    <n v="14005.099999999999"/>
    <n v="0"/>
  </r>
  <r>
    <n v="151"/>
    <x v="4"/>
    <x v="4"/>
    <x v="54"/>
    <n v="2808"/>
    <n v="4.0999999999999996"/>
    <n v="0.15"/>
    <n v="0.35"/>
    <n v="0.5"/>
    <n v="421.2"/>
    <n v="982.8"/>
    <n v="1404"/>
    <n v="1726.9199999999998"/>
    <n v="4029.4799999999996"/>
    <n v="5756.4"/>
  </r>
  <r>
    <n v="152"/>
    <x v="24"/>
    <x v="24"/>
    <x v="55"/>
    <n v="2516"/>
    <n v="3.3"/>
    <n v="0.08"/>
    <n v="0.42"/>
    <n v="0.5"/>
    <n v="201.28"/>
    <n v="1056.72"/>
    <n v="1258"/>
    <n v="664.22399999999993"/>
    <n v="3487.1759999999999"/>
    <n v="4151.3999999999996"/>
  </r>
  <r>
    <n v="153"/>
    <x v="3"/>
    <x v="3"/>
    <x v="55"/>
    <n v="2926"/>
    <n v="4.1500000000000004"/>
    <n v="0"/>
    <n v="1"/>
    <n v="0"/>
    <n v="0"/>
    <n v="2926"/>
    <n v="0"/>
    <n v="0"/>
    <n v="12142.900000000001"/>
    <n v="0"/>
  </r>
  <r>
    <n v="154"/>
    <x v="4"/>
    <x v="4"/>
    <x v="56"/>
    <n v="2862"/>
    <n v="3"/>
    <n v="0.12"/>
    <n v="0.37"/>
    <n v="0.51"/>
    <n v="343.44"/>
    <n v="1058.9399999999998"/>
    <n v="1459.6200000000001"/>
    <n v="1030.32"/>
    <n v="3176.8199999999997"/>
    <n v="4378.8600000000006"/>
  </r>
  <r>
    <n v="155"/>
    <x v="21"/>
    <x v="21"/>
    <x v="56"/>
    <n v="1889"/>
    <n v="3.7"/>
    <n v="0.15"/>
    <n v="0.35"/>
    <n v="0.5"/>
    <n v="283.34999999999997"/>
    <n v="661.15000000000009"/>
    <n v="944.5"/>
    <n v="1048.395"/>
    <n v="2446.2550000000006"/>
    <n v="3494.65"/>
  </r>
  <r>
    <n v="156"/>
    <x v="25"/>
    <x v="25"/>
    <x v="57"/>
    <n v="2607"/>
    <n v="3"/>
    <n v="0.25"/>
    <n v="0.35"/>
    <n v="0.4"/>
    <n v="651.75"/>
    <n v="912.45"/>
    <n v="1042.8"/>
    <n v="1955.25"/>
    <n v="2737.3500000000004"/>
    <n v="3128.3999999999996"/>
  </r>
  <r>
    <n v="157"/>
    <x v="6"/>
    <x v="6"/>
    <x v="58"/>
    <n v="2737"/>
    <n v="3.3"/>
    <n v="0.2"/>
    <n v="0.4"/>
    <n v="0.4"/>
    <n v="547.4"/>
    <n v="1094.8000000000002"/>
    <n v="1094.8"/>
    <n v="1806.4199999999998"/>
    <n v="3612.8400000000006"/>
    <n v="3612.8399999999997"/>
  </r>
  <r>
    <n v="158"/>
    <x v="5"/>
    <x v="5"/>
    <x v="59"/>
    <n v="1905"/>
    <n v="3.2"/>
    <n v="0"/>
    <n v="0.5"/>
    <n v="0.5"/>
    <n v="0"/>
    <n v="952.5"/>
    <n v="952.5"/>
    <n v="0"/>
    <n v="3048"/>
    <n v="3048"/>
  </r>
  <r>
    <n v="159"/>
    <x v="7"/>
    <x v="7"/>
    <x v="59"/>
    <n v="2397"/>
    <n v="3.2"/>
    <n v="0.02"/>
    <n v="0.37"/>
    <n v="0.61"/>
    <n v="47.94"/>
    <n v="886.88999999999987"/>
    <n v="1462.17"/>
    <n v="153.40799999999999"/>
    <n v="2838.0479999999998"/>
    <n v="4678.9440000000004"/>
  </r>
  <r>
    <n v="160"/>
    <x v="26"/>
    <x v="26"/>
    <x v="59"/>
    <n v="2047"/>
    <n v="3.2"/>
    <n v="0.13"/>
    <n v="0.37"/>
    <n v="0.5"/>
    <n v="266.11"/>
    <n v="757.39"/>
    <n v="1023.5"/>
    <n v="851.55200000000013"/>
    <n v="2423.6480000000001"/>
    <n v="3275.2000000000003"/>
  </r>
  <r>
    <n v="161"/>
    <x v="12"/>
    <x v="12"/>
    <x v="59"/>
    <n v="1921"/>
    <n v="3.2"/>
    <n v="0.13"/>
    <n v="0.37"/>
    <n v="0.5"/>
    <n v="249.73000000000002"/>
    <n v="710.77"/>
    <n v="960.5"/>
    <n v="799.13600000000008"/>
    <n v="2274.4639999999999"/>
    <n v="3073.6000000000004"/>
  </r>
  <r>
    <n v="162"/>
    <x v="2"/>
    <x v="2"/>
    <x v="59"/>
    <n v="1931"/>
    <n v="3.2"/>
    <n v="0.13"/>
    <n v="0.37"/>
    <n v="0.5"/>
    <n v="251.03"/>
    <n v="714.47"/>
    <n v="965.5"/>
    <n v="803.29600000000005"/>
    <n v="2286.3040000000001"/>
    <n v="3089.6000000000004"/>
  </r>
  <r>
    <n v="163"/>
    <x v="11"/>
    <x v="11"/>
    <x v="59"/>
    <n v="1738"/>
    <n v="3.2"/>
    <n v="0.13"/>
    <n v="0.37"/>
    <n v="0.5"/>
    <n v="225.94"/>
    <n v="643.05999999999995"/>
    <n v="869"/>
    <n v="723.00800000000004"/>
    <n v="2057.7919999999999"/>
    <n v="2780.8"/>
  </r>
  <r>
    <n v="164"/>
    <x v="13"/>
    <x v="13"/>
    <x v="59"/>
    <n v="2229"/>
    <n v="3.2"/>
    <n v="0.13"/>
    <n v="0.37"/>
    <n v="0.5"/>
    <n v="289.77"/>
    <n v="824.73"/>
    <n v="1114.5"/>
    <n v="927.26400000000001"/>
    <n v="2639.1360000000004"/>
    <n v="3566.4"/>
  </r>
  <r>
    <n v="165"/>
    <x v="19"/>
    <x v="19"/>
    <x v="59"/>
    <n v="1791"/>
    <n v="3.2"/>
    <n v="0.13"/>
    <n v="0.37"/>
    <n v="0.5"/>
    <n v="232.83"/>
    <n v="662.67"/>
    <n v="895.5"/>
    <n v="745.05600000000004"/>
    <n v="2120.5439999999999"/>
    <n v="2865.6000000000004"/>
  </r>
  <r>
    <n v="166"/>
    <x v="30"/>
    <x v="30"/>
    <x v="59"/>
    <n v="1844"/>
    <n v="3.2"/>
    <n v="0.05"/>
    <n v="0.35"/>
    <n v="0.6"/>
    <n v="92.2"/>
    <n v="645.40000000000009"/>
    <n v="1106.3999999999999"/>
    <n v="295.04000000000002"/>
    <n v="2065.2800000000002"/>
    <n v="3540.4799999999996"/>
  </r>
  <r>
    <n v="167"/>
    <x v="15"/>
    <x v="15"/>
    <x v="59"/>
    <n v="1665"/>
    <n v="3.2"/>
    <n v="0.13"/>
    <n v="0.37"/>
    <n v="0.5"/>
    <n v="216.45000000000002"/>
    <n v="616.04999999999995"/>
    <n v="832.5"/>
    <n v="692.6400000000001"/>
    <n v="1971.36"/>
    <n v="2664"/>
  </r>
  <r>
    <n v="168"/>
    <x v="8"/>
    <x v="8"/>
    <x v="59"/>
    <n v="2039"/>
    <n v="3.2"/>
    <n v="0.13"/>
    <n v="0.37"/>
    <n v="0.5"/>
    <n v="265.07"/>
    <n v="754.43000000000006"/>
    <n v="1019.5"/>
    <n v="848.22400000000005"/>
    <n v="2414.1760000000004"/>
    <n v="3262.4"/>
  </r>
  <r>
    <n v="169"/>
    <x v="24"/>
    <x v="24"/>
    <x v="59"/>
    <n v="2142"/>
    <n v="3.13"/>
    <n v="0.08"/>
    <n v="0.42019000000000001"/>
    <n v="0.49981000000000003"/>
    <n v="171.36"/>
    <n v="900.04697999999996"/>
    <n v="1070.59302"/>
    <n v="536.35680000000002"/>
    <n v="2817.1470473999998"/>
    <n v="3350.9561525999998"/>
  </r>
  <r>
    <n v="170"/>
    <x v="27"/>
    <x v="27"/>
    <x v="59"/>
    <n v="662"/>
    <n v="3"/>
    <n v="0.1"/>
    <n v="0.4"/>
    <n v="0.5"/>
    <n v="66.2"/>
    <n v="264.8"/>
    <n v="331"/>
    <n v="198.60000000000002"/>
    <n v="794.40000000000009"/>
    <n v="993"/>
  </r>
  <r>
    <n v="171"/>
    <x v="0"/>
    <x v="0"/>
    <x v="60"/>
    <n v="6328"/>
    <n v="3.2"/>
    <n v="0"/>
    <n v="1"/>
    <n v="0"/>
    <n v="0"/>
    <n v="6328"/>
    <n v="0"/>
    <n v="0"/>
    <n v="20249.600000000002"/>
    <n v="0"/>
  </r>
  <r>
    <n v="172"/>
    <x v="7"/>
    <x v="7"/>
    <x v="60"/>
    <n v="1789"/>
    <n v="3.5"/>
    <n v="0.05"/>
    <n v="0.35"/>
    <n v="0.6"/>
    <n v="89.45"/>
    <n v="626.15000000000009"/>
    <n v="1073.3999999999999"/>
    <n v="313.07499999999999"/>
    <n v="2191.5250000000005"/>
    <n v="3756.8999999999996"/>
  </r>
  <r>
    <n v="173"/>
    <x v="5"/>
    <x v="5"/>
    <x v="61"/>
    <n v="2140"/>
    <n v="3.76"/>
    <n v="0"/>
    <n v="0.5"/>
    <n v="0.5"/>
    <n v="0"/>
    <n v="1070"/>
    <n v="1070"/>
    <n v="0"/>
    <n v="4023.2"/>
    <n v="4023.2"/>
  </r>
  <r>
    <n v="174"/>
    <x v="24"/>
    <x v="24"/>
    <x v="61"/>
    <n v="1222"/>
    <n v="3.76"/>
    <n v="0.1"/>
    <n v="0.4"/>
    <n v="0.5"/>
    <n v="122.2"/>
    <n v="488.8"/>
    <n v="611"/>
    <n v="459.47199999999998"/>
    <n v="1837.8879999999999"/>
    <n v="2297.3599999999997"/>
  </r>
  <r>
    <n v="175"/>
    <x v="25"/>
    <x v="25"/>
    <x v="62"/>
    <n v="2453"/>
    <n v="3.38"/>
    <n v="0.05"/>
    <n v="0.35"/>
    <n v="0.6"/>
    <n v="122.65"/>
    <n v="858.55000000000007"/>
    <n v="1471.8"/>
    <n v="414.55700000000002"/>
    <n v="2901.8990000000003"/>
    <n v="4974.6839999999993"/>
  </r>
  <r>
    <n v="176"/>
    <x v="12"/>
    <x v="12"/>
    <x v="62"/>
    <n v="2337"/>
    <n v="3.38"/>
    <n v="0.05"/>
    <n v="0.35"/>
    <n v="0.6"/>
    <n v="116.85000000000001"/>
    <n v="817.94999999999993"/>
    <n v="1402.2"/>
    <n v="394.95300000000003"/>
    <n v="2764.6709999999998"/>
    <n v="4739.4359999999997"/>
  </r>
  <r>
    <n v="177"/>
    <x v="2"/>
    <x v="2"/>
    <x v="62"/>
    <n v="2457"/>
    <n v="3.38"/>
    <n v="0.05"/>
    <n v="0.35"/>
    <n v="0.6"/>
    <n v="122.85000000000001"/>
    <n v="859.94999999999993"/>
    <n v="1474.2"/>
    <n v="415.233"/>
    <n v="2906.6309999999999"/>
    <n v="4982.7960000000003"/>
  </r>
  <r>
    <n v="178"/>
    <x v="13"/>
    <x v="13"/>
    <x v="62"/>
    <n v="3281"/>
    <n v="3.38"/>
    <n v="0.05"/>
    <n v="0.35"/>
    <n v="0.6"/>
    <n v="164.05"/>
    <n v="1148.3500000000001"/>
    <n v="1968.6"/>
    <n v="554.48900000000003"/>
    <n v="3881.4230000000002"/>
    <n v="6653.8679999999995"/>
  </r>
  <r>
    <n v="179"/>
    <x v="19"/>
    <x v="19"/>
    <x v="62"/>
    <n v="1862"/>
    <n v="3.38"/>
    <n v="0.05"/>
    <n v="0.35"/>
    <n v="0.6"/>
    <n v="93.100000000000009"/>
    <n v="651.69999999999993"/>
    <n v="1117.2"/>
    <n v="314.678"/>
    <n v="2202.7459999999996"/>
    <n v="3776.136"/>
  </r>
  <r>
    <n v="180"/>
    <x v="15"/>
    <x v="15"/>
    <x v="62"/>
    <n v="1879"/>
    <n v="3.38"/>
    <n v="0.05"/>
    <n v="0.35"/>
    <n v="0.6"/>
    <n v="93.95"/>
    <n v="657.65000000000009"/>
    <n v="1127.3999999999999"/>
    <n v="317.55099999999999"/>
    <n v="2222.8570000000004"/>
    <n v="3810.6119999999996"/>
  </r>
  <r>
    <n v="181"/>
    <x v="8"/>
    <x v="8"/>
    <x v="62"/>
    <n v="2393"/>
    <n v="3.38"/>
    <n v="0.05"/>
    <n v="0.35"/>
    <n v="0.6"/>
    <n v="119.65"/>
    <n v="837.55000000000007"/>
    <n v="1435.8"/>
    <n v="404.41700000000003"/>
    <n v="2830.9190000000003"/>
    <n v="4853.0039999999999"/>
  </r>
  <r>
    <n v="182"/>
    <x v="28"/>
    <x v="28"/>
    <x v="62"/>
    <n v="2209"/>
    <n v="3.38"/>
    <n v="0.05"/>
    <n v="0.35"/>
    <n v="0.6"/>
    <n v="110.45"/>
    <n v="773.15000000000009"/>
    <n v="1325.3999999999999"/>
    <n v="373.32099999999997"/>
    <n v="2613.2470000000003"/>
    <n v="4479.851999999999"/>
  </r>
  <r>
    <n v="183"/>
    <x v="31"/>
    <x v="31"/>
    <x v="63"/>
    <n v="1188"/>
    <n v="3"/>
    <n v="0.05"/>
    <n v="0.35"/>
    <n v="0.6"/>
    <n v="59.400000000000006"/>
    <n v="415.80000000000007"/>
    <n v="712.8"/>
    <n v="178.20000000000002"/>
    <n v="1247.4000000000001"/>
    <n v="2138.3999999999996"/>
  </r>
  <r>
    <n v="184"/>
    <x v="21"/>
    <x v="21"/>
    <x v="53"/>
    <n v="2390"/>
    <n v="3"/>
    <n v="0.12"/>
    <n v="0.4"/>
    <n v="0.48"/>
    <n v="286.8"/>
    <n v="956"/>
    <n v="1147.2"/>
    <n v="860.40000000000009"/>
    <n v="2868"/>
    <n v="3441.6000000000004"/>
  </r>
  <r>
    <n v="185"/>
    <x v="22"/>
    <x v="22"/>
    <x v="53"/>
    <n v="357"/>
    <n v="3.2"/>
    <n v="0.05"/>
    <n v="0.35"/>
    <n v="0.6"/>
    <n v="17.850000000000001"/>
    <n v="124.95000000000002"/>
    <n v="214.2"/>
    <n v="57.120000000000005"/>
    <n v="399.84000000000009"/>
    <n v="685.44"/>
  </r>
  <r>
    <n v="186"/>
    <x v="20"/>
    <x v="20"/>
    <x v="53"/>
    <n v="696"/>
    <n v="3.2"/>
    <n v="0.05"/>
    <n v="0.35"/>
    <n v="0.6"/>
    <n v="34.800000000000004"/>
    <n v="243.60000000000002"/>
    <n v="417.59999999999997"/>
    <n v="111.36000000000001"/>
    <n v="779.5200000000001"/>
    <n v="1336.32"/>
  </r>
  <r>
    <n v="187"/>
    <x v="3"/>
    <x v="3"/>
    <x v="64"/>
    <n v="3605"/>
    <n v="3"/>
    <n v="0"/>
    <n v="1"/>
    <n v="0"/>
    <n v="0"/>
    <n v="3605"/>
    <n v="0"/>
    <n v="0"/>
    <n v="10815"/>
    <n v="0"/>
  </r>
  <r>
    <n v="188"/>
    <x v="0"/>
    <x v="0"/>
    <x v="64"/>
    <n v="3326"/>
    <n v="3.2"/>
    <n v="0"/>
    <n v="1"/>
    <n v="0"/>
    <n v="0"/>
    <n v="3326"/>
    <n v="0"/>
    <n v="0"/>
    <n v="10643.2"/>
    <n v="0"/>
  </r>
  <r>
    <n v="189"/>
    <x v="18"/>
    <x v="18"/>
    <x v="64"/>
    <n v="2197"/>
    <n v="3.2"/>
    <n v="0.1"/>
    <n v="0.4"/>
    <n v="0.5"/>
    <n v="219.70000000000002"/>
    <n v="878.8"/>
    <n v="1098.5"/>
    <n v="703.04000000000008"/>
    <n v="2812.16"/>
    <n v="3515.2000000000003"/>
  </r>
  <r>
    <n v="190"/>
    <x v="23"/>
    <x v="23"/>
    <x v="65"/>
    <n v="3096"/>
    <n v="3"/>
    <n v="0.1"/>
    <n v="0.4"/>
    <n v="0.5"/>
    <n v="309.60000000000002"/>
    <n v="1238.4000000000001"/>
    <n v="1548"/>
    <n v="928.80000000000007"/>
    <n v="3715.2000000000003"/>
    <n v="4644"/>
  </r>
  <r>
    <n v="191"/>
    <x v="18"/>
    <x v="18"/>
    <x v="65"/>
    <n v="2452"/>
    <n v="3"/>
    <n v="0.15"/>
    <n v="0.4"/>
    <n v="0.44999999999999996"/>
    <n v="367.8"/>
    <n v="980.80000000000018"/>
    <n v="1103.3999999999999"/>
    <n v="1103.4000000000001"/>
    <n v="2942.4000000000005"/>
    <n v="3310.2"/>
  </r>
  <r>
    <n v="192"/>
    <x v="20"/>
    <x v="20"/>
    <x v="65"/>
    <n v="2004"/>
    <n v="3"/>
    <n v="0.1"/>
    <n v="0.4"/>
    <n v="0.5"/>
    <n v="200.4"/>
    <n v="801.6"/>
    <n v="1002"/>
    <n v="601.20000000000005"/>
    <n v="2404.8000000000002"/>
    <n v="3006"/>
  </r>
  <r>
    <n v="193"/>
    <x v="24"/>
    <x v="24"/>
    <x v="66"/>
    <n v="2447"/>
    <n v="2.77"/>
    <n v="0.08"/>
    <n v="0.42"/>
    <n v="0.5"/>
    <n v="195.76"/>
    <n v="1027.74"/>
    <n v="1223.5"/>
    <n v="542.25519999999995"/>
    <n v="2846.8398000000002"/>
    <n v="3389.0949999999998"/>
  </r>
  <r>
    <n v="194"/>
    <x v="22"/>
    <x v="22"/>
    <x v="67"/>
    <n v="2480"/>
    <n v="2.5"/>
    <n v="0.05"/>
    <n v="0.45"/>
    <n v="0.49999999999999994"/>
    <n v="124"/>
    <n v="1116.0000000000002"/>
    <n v="1239.9999999999998"/>
    <n v="310"/>
    <n v="2790.0000000000005"/>
    <n v="3099.9999999999995"/>
  </r>
  <r>
    <n v="195"/>
    <x v="7"/>
    <x v="7"/>
    <x v="68"/>
    <n v="2678"/>
    <n v="1.9"/>
    <n v="0.08"/>
    <n v="0.43"/>
    <n v="0.49000000000000005"/>
    <n v="214.24"/>
    <n v="1151.54"/>
    <n v="1312.22"/>
    <n v="407.05599999999998"/>
    <n v="2187.9259999999999"/>
    <n v="2493.2179999999998"/>
  </r>
  <r>
    <n v="196"/>
    <x v="25"/>
    <x v="25"/>
    <x v="68"/>
    <n v="1771"/>
    <n v="2.1"/>
    <n v="0.23"/>
    <n v="0.37"/>
    <n v="0.4"/>
    <n v="407.33000000000004"/>
    <n v="655.26999999999987"/>
    <n v="708.40000000000009"/>
    <n v="855.39300000000014"/>
    <n v="1376.0669999999998"/>
    <n v="1487.6400000000003"/>
  </r>
  <r>
    <n v="197"/>
    <x v="26"/>
    <x v="26"/>
    <x v="68"/>
    <n v="1969"/>
    <n v="1.9"/>
    <n v="0.03"/>
    <n v="0.37"/>
    <n v="0.6"/>
    <n v="59.07"/>
    <n v="728.53000000000009"/>
    <n v="1181.3999999999999"/>
    <n v="112.23299999999999"/>
    <n v="1384.2070000000001"/>
    <n v="2244.66"/>
  </r>
  <r>
    <n v="198"/>
    <x v="12"/>
    <x v="12"/>
    <x v="68"/>
    <n v="1874"/>
    <n v="1.9"/>
    <n v="0.03"/>
    <n v="0.37"/>
    <n v="0.6"/>
    <n v="56.22"/>
    <n v="693.38000000000011"/>
    <n v="1124.3999999999999"/>
    <n v="106.818"/>
    <n v="1317.4220000000003"/>
    <n v="2136.3599999999997"/>
  </r>
  <r>
    <n v="199"/>
    <x v="2"/>
    <x v="2"/>
    <x v="68"/>
    <n v="1677"/>
    <n v="1.9"/>
    <n v="0.03"/>
    <n v="0.27"/>
    <n v="0.7"/>
    <n v="50.309999999999995"/>
    <n v="452.79000000000013"/>
    <n v="1173.8999999999999"/>
    <n v="95.588999999999984"/>
    <n v="860.30100000000016"/>
    <n v="2230.41"/>
  </r>
  <r>
    <n v="200"/>
    <x v="33"/>
    <x v="33"/>
    <x v="68"/>
    <n v="1198"/>
    <n v="1.9"/>
    <n v="0.65"/>
    <n v="0.35"/>
    <n v="0"/>
    <n v="778.7"/>
    <n v="419.29999999999995"/>
    <n v="0"/>
    <n v="1479.53"/>
    <n v="796.66999999999985"/>
    <n v="0"/>
  </r>
  <r>
    <n v="201"/>
    <x v="34"/>
    <x v="34"/>
    <x v="68"/>
    <n v="835"/>
    <n v="1.9"/>
    <n v="0.15"/>
    <n v="0.35"/>
    <n v="0.5"/>
    <n v="125.25"/>
    <n v="292.25"/>
    <n v="417.5"/>
    <n v="237.97499999999999"/>
    <n v="555.27499999999998"/>
    <n v="793.25"/>
  </r>
  <r>
    <n v="202"/>
    <x v="11"/>
    <x v="11"/>
    <x v="68"/>
    <n v="1505"/>
    <n v="1.9"/>
    <n v="0.03"/>
    <n v="0.27"/>
    <n v="0.7"/>
    <n v="45.15"/>
    <n v="406.35"/>
    <n v="1053.5"/>
    <n v="85.784999999999997"/>
    <n v="772.06500000000005"/>
    <n v="2001.6499999999999"/>
  </r>
  <r>
    <n v="203"/>
    <x v="13"/>
    <x v="13"/>
    <x v="68"/>
    <n v="2608"/>
    <n v="1.9"/>
    <n v="0.03"/>
    <n v="0.37"/>
    <n v="0.6"/>
    <n v="78.239999999999995"/>
    <n v="964.96"/>
    <n v="1564.8"/>
    <n v="148.65599999999998"/>
    <n v="1833.424"/>
    <n v="2973.12"/>
  </r>
  <r>
    <n v="204"/>
    <x v="19"/>
    <x v="19"/>
    <x v="68"/>
    <n v="1416"/>
    <n v="1.9"/>
    <n v="0.03"/>
    <n v="0.37"/>
    <n v="0.6"/>
    <n v="42.48"/>
    <n v="523.91999999999996"/>
    <n v="849.6"/>
    <n v="80.711999999999989"/>
    <n v="995.44799999999987"/>
    <n v="1614.24"/>
  </r>
  <r>
    <n v="205"/>
    <x v="30"/>
    <x v="30"/>
    <x v="68"/>
    <n v="2439"/>
    <n v="1.9"/>
    <n v="0.1"/>
    <n v="0.3"/>
    <n v="0.60000000000000009"/>
    <n v="243.9"/>
    <n v="731.6999999999997"/>
    <n v="1463.4000000000003"/>
    <n v="463.40999999999997"/>
    <n v="1390.2299999999993"/>
    <n v="2780.4600000000005"/>
  </r>
  <r>
    <n v="206"/>
    <x v="4"/>
    <x v="4"/>
    <x v="68"/>
    <n v="2230"/>
    <n v="2"/>
    <n v="0.12"/>
    <n v="0.37"/>
    <n v="0.51"/>
    <n v="267.59999999999997"/>
    <n v="825.10000000000014"/>
    <n v="1137.3"/>
    <n v="535.19999999999993"/>
    <n v="1650.2000000000003"/>
    <n v="2274.6"/>
  </r>
  <r>
    <n v="207"/>
    <x v="15"/>
    <x v="15"/>
    <x v="68"/>
    <n v="2001"/>
    <n v="1.9"/>
    <n v="0.03"/>
    <n v="0.37"/>
    <n v="0.6"/>
    <n v="60.03"/>
    <n v="740.37000000000012"/>
    <n v="1200.5999999999999"/>
    <n v="114.057"/>
    <n v="1406.7030000000002"/>
    <n v="2281.14"/>
  </r>
  <r>
    <n v="208"/>
    <x v="8"/>
    <x v="8"/>
    <x v="68"/>
    <n v="1541"/>
    <n v="1.9"/>
    <n v="0.03"/>
    <n v="0.27"/>
    <n v="0.7"/>
    <n v="46.23"/>
    <n v="416.07000000000016"/>
    <n v="1078.6999999999998"/>
    <n v="87.836999999999989"/>
    <n v="790.53300000000024"/>
    <n v="2049.5299999999997"/>
  </r>
  <r>
    <n v="209"/>
    <x v="5"/>
    <x v="5"/>
    <x v="69"/>
    <n v="2802"/>
    <n v="1.9"/>
    <n v="0"/>
    <n v="0.5"/>
    <n v="0.5"/>
    <n v="0"/>
    <n v="1401"/>
    <n v="1401"/>
    <n v="0"/>
    <n v="2661.9"/>
    <n v="2661.9"/>
  </r>
  <r>
    <n v="210"/>
    <x v="31"/>
    <x v="31"/>
    <x v="70"/>
    <n v="1422"/>
    <n v="1.8"/>
    <n v="0.08"/>
    <n v="0.35"/>
    <n v="0.57000000000000006"/>
    <n v="113.76"/>
    <n v="497.69999999999993"/>
    <n v="810.54000000000008"/>
    <n v="204.768"/>
    <n v="895.8599999999999"/>
    <n v="1458.9720000000002"/>
  </r>
  <r>
    <n v="211"/>
    <x v="21"/>
    <x v="21"/>
    <x v="71"/>
    <n v="2192"/>
    <n v="1.8"/>
    <n v="0.15"/>
    <n v="0.4"/>
    <n v="0.44999999999999996"/>
    <n v="328.8"/>
    <n v="876.80000000000018"/>
    <n v="986.39999999999986"/>
    <n v="591.84"/>
    <n v="1578.2400000000005"/>
    <n v="1775.5199999999998"/>
  </r>
  <r>
    <n v="212"/>
    <x v="23"/>
    <x v="23"/>
    <x v="72"/>
    <n v="2155"/>
    <n v="1.7"/>
    <n v="0.1"/>
    <n v="0.4"/>
    <n v="0.5"/>
    <n v="215.5"/>
    <n v="862"/>
    <n v="1077.5"/>
    <n v="366.34999999999997"/>
    <n v="1465.3999999999999"/>
    <n v="1831.75"/>
  </r>
  <r>
    <n v="213"/>
    <x v="18"/>
    <x v="18"/>
    <x v="72"/>
    <n v="2683"/>
    <n v="1.7"/>
    <n v="0.15"/>
    <n v="0.4"/>
    <n v="0.44999999999999996"/>
    <n v="402.45"/>
    <n v="1073.2"/>
    <n v="1207.3499999999999"/>
    <n v="684.16499999999996"/>
    <n v="1824.44"/>
    <n v="2052.4949999999999"/>
  </r>
  <r>
    <n v="214"/>
    <x v="20"/>
    <x v="20"/>
    <x v="72"/>
    <n v="2192"/>
    <n v="1.7"/>
    <n v="0.1"/>
    <n v="0.4"/>
    <n v="0.5"/>
    <n v="219.20000000000002"/>
    <n v="876.8"/>
    <n v="1096"/>
    <n v="372.64000000000004"/>
    <n v="1490.56"/>
    <n v="1863.2"/>
  </r>
  <r>
    <n v="215"/>
    <x v="24"/>
    <x v="24"/>
    <x v="73"/>
    <n v="2752"/>
    <n v="1.7"/>
    <n v="3.5000000000000003E-2"/>
    <n v="0.45"/>
    <n v="0.5149999999999999"/>
    <n v="96.320000000000007"/>
    <n v="1238.4000000000003"/>
    <n v="1417.2799999999997"/>
    <n v="163.744"/>
    <n v="2105.2800000000007"/>
    <n v="2409.3759999999993"/>
  </r>
  <r>
    <n v="216"/>
    <x v="22"/>
    <x v="22"/>
    <x v="74"/>
    <n v="1625"/>
    <n v="1.6"/>
    <n v="0.05"/>
    <n v="0.45"/>
    <n v="0.49999999999999994"/>
    <n v="81.25"/>
    <n v="731.25000000000011"/>
    <n v="812.49999999999989"/>
    <n v="130"/>
    <n v="1170.0000000000002"/>
    <n v="1300"/>
  </r>
  <r>
    <n v="217"/>
    <x v="7"/>
    <x v="7"/>
    <x v="75"/>
    <n v="1950"/>
    <n v="1.6"/>
    <n v="0.12"/>
    <n v="0.38"/>
    <n v="0.5"/>
    <n v="234"/>
    <n v="741"/>
    <n v="975"/>
    <n v="374.40000000000003"/>
    <n v="1185.6000000000001"/>
    <n v="1560"/>
  </r>
  <r>
    <n v="218"/>
    <x v="26"/>
    <x v="26"/>
    <x v="75"/>
    <n v="1942"/>
    <n v="1.6"/>
    <n v="0.03"/>
    <n v="0.37"/>
    <n v="0.6"/>
    <n v="58.26"/>
    <n v="718.54"/>
    <n v="1165.2"/>
    <n v="93.216000000000008"/>
    <n v="1149.664"/>
    <n v="1864.3200000000002"/>
  </r>
  <r>
    <n v="219"/>
    <x v="12"/>
    <x v="12"/>
    <x v="75"/>
    <n v="1645"/>
    <n v="1.5"/>
    <n v="0.03"/>
    <n v="0.27"/>
    <n v="0.7"/>
    <n v="49.35"/>
    <n v="444.15"/>
    <n v="1151.5"/>
    <n v="74.025000000000006"/>
    <n v="666.22499999999991"/>
    <n v="1727.25"/>
  </r>
  <r>
    <n v="220"/>
    <x v="30"/>
    <x v="30"/>
    <x v="75"/>
    <n v="2146"/>
    <n v="1.6"/>
    <n v="0.05"/>
    <n v="0.35"/>
    <n v="0.6"/>
    <n v="107.30000000000001"/>
    <n v="751.10000000000014"/>
    <n v="1287.5999999999999"/>
    <n v="171.68000000000004"/>
    <n v="1201.7600000000002"/>
    <n v="2060.16"/>
  </r>
  <r>
    <n v="221"/>
    <x v="8"/>
    <x v="8"/>
    <x v="75"/>
    <n v="1477"/>
    <n v="1.6"/>
    <n v="0.03"/>
    <n v="0.27"/>
    <n v="0.7"/>
    <n v="44.309999999999995"/>
    <n v="398.79000000000013"/>
    <n v="1033.8999999999999"/>
    <n v="70.896000000000001"/>
    <n v="638.06400000000031"/>
    <n v="1654.2399999999998"/>
  </r>
  <r>
    <n v="222"/>
    <x v="5"/>
    <x v="5"/>
    <x v="76"/>
    <n v="2915"/>
    <n v="1.4"/>
    <n v="0"/>
    <n v="0.5"/>
    <n v="0.5"/>
    <n v="0"/>
    <n v="1457.5"/>
    <n v="1457.5"/>
    <n v="0"/>
    <n v="2040.4999999999998"/>
    <n v="2040.4999999999998"/>
  </r>
  <r>
    <n v="223"/>
    <x v="25"/>
    <x v="25"/>
    <x v="76"/>
    <n v="1862"/>
    <n v="1.4"/>
    <n v="0.3"/>
    <n v="0.4"/>
    <n v="0.29999999999999993"/>
    <n v="558.6"/>
    <n v="744.80000000000007"/>
    <n v="558.59999999999991"/>
    <n v="782.04"/>
    <n v="1042.72"/>
    <n v="782.03999999999985"/>
  </r>
  <r>
    <n v="224"/>
    <x v="2"/>
    <x v="2"/>
    <x v="76"/>
    <n v="1492"/>
    <n v="1.51"/>
    <n v="0.03"/>
    <n v="0.27"/>
    <n v="0.7"/>
    <n v="44.76"/>
    <n v="402.84000000000015"/>
    <n v="1044.3999999999999"/>
    <n v="67.587599999999995"/>
    <n v="608.28840000000025"/>
    <n v="1577.0439999999999"/>
  </r>
  <r>
    <n v="225"/>
    <x v="13"/>
    <x v="13"/>
    <x v="76"/>
    <n v="1526"/>
    <n v="1.5"/>
    <n v="0.03"/>
    <n v="0.27"/>
    <n v="0.7"/>
    <n v="45.78"/>
    <n v="412.02"/>
    <n v="1068.2"/>
    <n v="68.67"/>
    <n v="618.03"/>
    <n v="1602.3000000000002"/>
  </r>
  <r>
    <n v="226"/>
    <x v="0"/>
    <x v="0"/>
    <x v="77"/>
    <n v="3568"/>
    <n v="1.45"/>
    <n v="0"/>
    <n v="1"/>
    <n v="0"/>
    <n v="0"/>
    <n v="3568"/>
    <n v="0"/>
    <n v="0"/>
    <n v="5173.5999999999995"/>
    <n v="0"/>
  </r>
  <r>
    <n v="227"/>
    <x v="33"/>
    <x v="33"/>
    <x v="77"/>
    <n v="1945"/>
    <n v="1.4"/>
    <n v="0.6"/>
    <n v="0.4"/>
    <n v="0"/>
    <n v="1167"/>
    <n v="778"/>
    <n v="0"/>
    <n v="1633.8"/>
    <n v="1089.1999999999998"/>
    <n v="0"/>
  </r>
  <r>
    <n v="228"/>
    <x v="35"/>
    <x v="35"/>
    <x v="77"/>
    <n v="877"/>
    <n v="1.4"/>
    <n v="0.03"/>
    <n v="0.27"/>
    <n v="0.7"/>
    <n v="26.31"/>
    <n v="236.79000000000002"/>
    <n v="613.9"/>
    <n v="36.833999999999996"/>
    <n v="331.50600000000003"/>
    <n v="859.45999999999992"/>
  </r>
  <r>
    <n v="229"/>
    <x v="36"/>
    <x v="36"/>
    <x v="78"/>
    <n v="239"/>
    <n v="1.54"/>
    <n v="0.1"/>
    <n v="0.4"/>
    <n v="0.5"/>
    <n v="23.900000000000002"/>
    <n v="95.6"/>
    <n v="119.5"/>
    <n v="36.806000000000004"/>
    <n v="147.22399999999999"/>
    <n v="184.03"/>
  </r>
  <r>
    <n v="230"/>
    <x v="4"/>
    <x v="4"/>
    <x v="78"/>
    <n v="1271"/>
    <n v="1.54"/>
    <n v="0.1"/>
    <n v="0.4"/>
    <n v="0.5"/>
    <n v="127.10000000000001"/>
    <n v="508.4"/>
    <n v="635.5"/>
    <n v="195.73400000000001"/>
    <n v="782.93600000000004"/>
    <n v="978.67000000000007"/>
  </r>
  <r>
    <n v="231"/>
    <x v="23"/>
    <x v="23"/>
    <x v="79"/>
    <n v="2619"/>
    <n v="1.39"/>
    <n v="0.1"/>
    <n v="0.4"/>
    <n v="0.5"/>
    <n v="261.90000000000003"/>
    <n v="1047.5999999999999"/>
    <n v="1309.5"/>
    <n v="364.041"/>
    <n v="1456.1639999999998"/>
    <n v="1820.2049999999999"/>
  </r>
  <r>
    <n v="232"/>
    <x v="37"/>
    <x v="37"/>
    <x v="79"/>
    <n v="1434"/>
    <n v="1.39"/>
    <n v="0.1"/>
    <n v="0.4"/>
    <n v="0.5"/>
    <n v="143.4"/>
    <n v="573.6"/>
    <n v="717"/>
    <n v="199.32599999999999"/>
    <n v="797.30399999999997"/>
    <n v="996.62999999999988"/>
  </r>
  <r>
    <n v="233"/>
    <x v="21"/>
    <x v="21"/>
    <x v="80"/>
    <n v="3344"/>
    <n v="1.39"/>
    <n v="0.15"/>
    <n v="0.4"/>
    <n v="0.44999999999999996"/>
    <n v="501.59999999999997"/>
    <n v="1337.6000000000001"/>
    <n v="1504.8"/>
    <n v="697.22399999999993"/>
    <n v="1859.2640000000001"/>
    <n v="2091.6719999999996"/>
  </r>
  <r>
    <n v="234"/>
    <x v="24"/>
    <x v="24"/>
    <x v="80"/>
    <n v="2590"/>
    <n v="1.39"/>
    <n v="0.08"/>
    <n v="0.43"/>
    <n v="0.49000000000000005"/>
    <n v="207.20000000000002"/>
    <n v="1113.6999999999998"/>
    <n v="1269.1000000000001"/>
    <n v="288.00799999999998"/>
    <n v="1548.0429999999997"/>
    <n v="1764.049"/>
  </r>
  <r>
    <n v="235"/>
    <x v="38"/>
    <x v="38"/>
    <x v="81"/>
    <n v="976"/>
    <n v="1.39"/>
    <n v="0.03"/>
    <n v="0.37"/>
    <n v="0.6"/>
    <n v="29.279999999999998"/>
    <n v="361.12"/>
    <n v="585.6"/>
    <n v="40.69919999999999"/>
    <n v="501.95679999999999"/>
    <n v="813.98399999999992"/>
  </r>
  <r>
    <n v="236"/>
    <x v="5"/>
    <x v="5"/>
    <x v="81"/>
    <n v="2755"/>
    <n v="1.39"/>
    <n v="0"/>
    <n v="0.5"/>
    <n v="0.5"/>
    <n v="0"/>
    <n v="1377.5"/>
    <n v="1377.5"/>
    <n v="0"/>
    <n v="1914.7249999999999"/>
    <n v="1914.7249999999999"/>
  </r>
  <r>
    <n v="237"/>
    <x v="7"/>
    <x v="7"/>
    <x v="81"/>
    <n v="2770"/>
    <n v="1.39"/>
    <n v="0.1"/>
    <n v="0.4"/>
    <n v="0.5"/>
    <n v="277"/>
    <n v="1108"/>
    <n v="1385"/>
    <n v="385.03"/>
    <n v="1540.12"/>
    <n v="1925.1499999999999"/>
  </r>
  <r>
    <n v="238"/>
    <x v="22"/>
    <x v="22"/>
    <x v="81"/>
    <n v="1691"/>
    <n v="1.39"/>
    <n v="0.05"/>
    <n v="0.45"/>
    <n v="0.49999999999999994"/>
    <n v="84.550000000000011"/>
    <n v="760.95"/>
    <n v="845.49999999999989"/>
    <n v="117.5245"/>
    <n v="1057.7204999999999"/>
    <n v="1175.2449999999997"/>
  </r>
  <r>
    <n v="239"/>
    <x v="39"/>
    <x v="39"/>
    <x v="81"/>
    <n v="969"/>
    <n v="1.39"/>
    <n v="0"/>
    <n v="0.3"/>
    <n v="0.7"/>
    <n v="0"/>
    <n v="290.70000000000005"/>
    <n v="678.3"/>
    <n v="0"/>
    <n v="404.07300000000004"/>
    <n v="942.83699999999988"/>
  </r>
  <r>
    <n v="240"/>
    <x v="26"/>
    <x v="26"/>
    <x v="81"/>
    <n v="2438"/>
    <n v="1.39"/>
    <n v="0.03"/>
    <n v="0.37"/>
    <n v="0.6"/>
    <n v="73.14"/>
    <n v="902.06000000000006"/>
    <n v="1462.8"/>
    <n v="101.66459999999999"/>
    <n v="1253.8634"/>
    <n v="2033.2919999999997"/>
  </r>
  <r>
    <n v="241"/>
    <x v="12"/>
    <x v="12"/>
    <x v="81"/>
    <n v="1533"/>
    <n v="1.39"/>
    <n v="0.03"/>
    <n v="0.27"/>
    <n v="0.7"/>
    <n v="45.989999999999995"/>
    <n v="413.91000000000008"/>
    <n v="1073.0999999999999"/>
    <n v="63.926099999999991"/>
    <n v="575.33490000000006"/>
    <n v="1491.6089999999997"/>
  </r>
  <r>
    <n v="242"/>
    <x v="2"/>
    <x v="2"/>
    <x v="81"/>
    <n v="1091"/>
    <n v="1.39"/>
    <n v="0.03"/>
    <n v="0.27"/>
    <n v="0.7"/>
    <n v="32.729999999999997"/>
    <n v="294.57000000000005"/>
    <n v="763.69999999999993"/>
    <n v="45.494699999999995"/>
    <n v="409.45230000000004"/>
    <n v="1061.5429999999999"/>
  </r>
  <r>
    <n v="243"/>
    <x v="40"/>
    <x v="40"/>
    <x v="81"/>
    <n v="1266"/>
    <n v="1.39"/>
    <n v="0.03"/>
    <n v="0.27"/>
    <n v="0.7"/>
    <n v="37.979999999999997"/>
    <n v="341.82000000000005"/>
    <n v="886.19999999999993"/>
    <n v="52.792199999999994"/>
    <n v="475.12980000000005"/>
    <n v="1231.8179999999998"/>
  </r>
  <r>
    <n v="244"/>
    <x v="41"/>
    <x v="41"/>
    <x v="81"/>
    <n v="147"/>
    <n v="1.39"/>
    <n v="0.03"/>
    <n v="0.27"/>
    <n v="0.7"/>
    <n v="4.41"/>
    <n v="39.690000000000012"/>
    <n v="102.89999999999999"/>
    <n v="6.1299000000000001"/>
    <n v="55.169100000000014"/>
    <n v="143.03099999999998"/>
  </r>
  <r>
    <n v="245"/>
    <x v="6"/>
    <x v="6"/>
    <x v="81"/>
    <n v="7039"/>
    <n v="1.39"/>
    <n v="0.13"/>
    <n v="0.47"/>
    <n v="0.4"/>
    <n v="915.07"/>
    <n v="3308.3299999999995"/>
    <n v="2815.6000000000004"/>
    <n v="1271.9473"/>
    <n v="4598.5786999999991"/>
    <n v="3913.6840000000002"/>
  </r>
  <r>
    <n v="246"/>
    <x v="42"/>
    <x v="42"/>
    <x v="81"/>
    <n v="744"/>
    <n v="1.39"/>
    <n v="0.65"/>
    <n v="0.35"/>
    <n v="0"/>
    <n v="483.6"/>
    <n v="260.39999999999998"/>
    <n v="0"/>
    <n v="672.20399999999995"/>
    <n v="361.95599999999996"/>
    <n v="0"/>
  </r>
  <r>
    <n v="247"/>
    <x v="30"/>
    <x v="30"/>
    <x v="81"/>
    <n v="914"/>
    <n v="1.39"/>
    <n v="0.03"/>
    <n v="0.37"/>
    <n v="0.6"/>
    <n v="27.419999999999998"/>
    <n v="338.18"/>
    <n v="548.4"/>
    <n v="38.113799999999998"/>
    <n v="470.0702"/>
    <n v="762.27599999999995"/>
  </r>
  <r>
    <n v="248"/>
    <x v="4"/>
    <x v="4"/>
    <x v="81"/>
    <n v="1402"/>
    <n v="1.39"/>
    <n v="0.6"/>
    <n v="0.4"/>
    <n v="0"/>
    <n v="841.19999999999993"/>
    <n v="560.80000000000007"/>
    <n v="0"/>
    <n v="1169.2679999999998"/>
    <n v="779.51200000000006"/>
    <n v="0"/>
  </r>
  <r>
    <n v="249"/>
    <x v="43"/>
    <x v="43"/>
    <x v="82"/>
    <n v="902"/>
    <n v="1.35"/>
    <n v="0.65"/>
    <n v="0.35"/>
    <n v="0"/>
    <n v="586.30000000000007"/>
    <n v="315.69999999999993"/>
    <n v="0"/>
    <n v="791.50500000000011"/>
    <n v="426.19499999999994"/>
    <n v="0"/>
  </r>
  <r>
    <n v="250"/>
    <x v="6"/>
    <x v="6"/>
    <x v="82"/>
    <n v="4184"/>
    <n v="1.35"/>
    <n v="0.13"/>
    <n v="0.47"/>
    <n v="0.4"/>
    <n v="543.92000000000007"/>
    <n v="1966.4799999999996"/>
    <n v="1673.6000000000001"/>
    <n v="734.29200000000014"/>
    <n v="2654.7479999999996"/>
    <n v="2259.36"/>
  </r>
  <r>
    <n v="251"/>
    <x v="33"/>
    <x v="33"/>
    <x v="82"/>
    <n v="1676"/>
    <n v="1.35"/>
    <n v="0.6"/>
    <n v="0.4"/>
    <n v="0"/>
    <n v="1005.5999999999999"/>
    <n v="670.40000000000009"/>
    <n v="0"/>
    <n v="1357.56"/>
    <n v="905.04000000000019"/>
    <n v="0"/>
  </r>
  <r>
    <n v="252"/>
    <x v="25"/>
    <x v="25"/>
    <x v="83"/>
    <n v="2932"/>
    <n v="1.01"/>
    <n v="0.2"/>
    <n v="0.4"/>
    <n v="0.4"/>
    <n v="586.4"/>
    <n v="1172.8000000000002"/>
    <n v="1172.8"/>
    <n v="592.26400000000001"/>
    <n v="1184.5280000000002"/>
    <n v="1184.528"/>
  </r>
  <r>
    <n v="253"/>
    <x v="18"/>
    <x v="18"/>
    <x v="84"/>
    <n v="3335"/>
    <n v="0.92"/>
    <n v="0.3"/>
    <n v="0.4"/>
    <n v="0.29999999999999993"/>
    <n v="1000.5"/>
    <n v="1334"/>
    <n v="1000.4999999999998"/>
    <n v="920.46"/>
    <n v="1227.28"/>
    <n v="920.45999999999981"/>
  </r>
  <r>
    <n v="254"/>
    <x v="44"/>
    <x v="44"/>
    <x v="85"/>
    <n v="601"/>
    <n v="0.92"/>
    <n v="0.03"/>
    <n v="0.37"/>
    <n v="0.6"/>
    <n v="18.029999999999998"/>
    <n v="222.37000000000003"/>
    <n v="360.59999999999997"/>
    <n v="16.587599999999998"/>
    <n v="204.58040000000003"/>
    <n v="331.75200000000001"/>
  </r>
  <r>
    <n v="255"/>
    <x v="45"/>
    <x v="45"/>
    <x v="85"/>
    <n v="77"/>
    <n v="0.92"/>
    <n v="0.03"/>
    <n v="0.37"/>
    <n v="0.6"/>
    <n v="2.31"/>
    <n v="28.490000000000006"/>
    <n v="46.199999999999996"/>
    <n v="2.1252"/>
    <n v="26.210800000000006"/>
    <n v="42.503999999999998"/>
  </r>
  <r>
    <n v="256"/>
    <x v="31"/>
    <x v="31"/>
    <x v="85"/>
    <n v="388"/>
    <n v="0.92"/>
    <n v="0.03"/>
    <n v="0.37"/>
    <n v="0.6"/>
    <n v="11.639999999999999"/>
    <n v="143.56000000000003"/>
    <n v="232.79999999999998"/>
    <n v="10.7088"/>
    <n v="132.07520000000002"/>
    <n v="214.17599999999999"/>
  </r>
  <r>
    <n v="257"/>
    <x v="0"/>
    <x v="0"/>
    <x v="86"/>
    <n v="4705"/>
    <n v="0.98"/>
    <n v="0"/>
    <n v="1"/>
    <n v="0"/>
    <n v="0"/>
    <n v="4705"/>
    <n v="0"/>
    <n v="0"/>
    <n v="4610.8999999999996"/>
    <n v="0"/>
  </r>
  <r>
    <n v="258"/>
    <x v="19"/>
    <x v="19"/>
    <x v="86"/>
    <n v="1943"/>
    <n v="0.98"/>
    <n v="0.05"/>
    <n v="0.45"/>
    <n v="0.49999999999999994"/>
    <n v="97.15"/>
    <n v="874.35000000000014"/>
    <n v="971.49999999999989"/>
    <n v="95.207000000000008"/>
    <n v="856.86300000000017"/>
    <n v="952.06999999999982"/>
  </r>
  <r>
    <n v="259"/>
    <x v="7"/>
    <x v="7"/>
    <x v="86"/>
    <n v="1974"/>
    <n v="1"/>
    <n v="0.12"/>
    <n v="0.38"/>
    <n v="0.5"/>
    <n v="236.88"/>
    <n v="750.12"/>
    <n v="987"/>
    <n v="236.88"/>
    <n v="750.12"/>
    <n v="987"/>
  </r>
  <r>
    <n v="260"/>
    <x v="38"/>
    <x v="38"/>
    <x v="86"/>
    <n v="1737"/>
    <n v="0.98"/>
    <n v="0.03"/>
    <n v="0.37"/>
    <n v="0.6"/>
    <n v="52.11"/>
    <n v="642.68999999999994"/>
    <n v="1042.2"/>
    <n v="51.067799999999998"/>
    <n v="629.83619999999996"/>
    <n v="1021.356"/>
  </r>
  <r>
    <n v="261"/>
    <x v="21"/>
    <x v="21"/>
    <x v="86"/>
    <n v="2076"/>
    <n v="0.98"/>
    <n v="0.15"/>
    <n v="0.4"/>
    <n v="0.44999999999999996"/>
    <n v="311.39999999999998"/>
    <n v="830.4000000000002"/>
    <n v="934.19999999999993"/>
    <n v="305.17199999999997"/>
    <n v="813.79200000000014"/>
    <n v="915.51599999999996"/>
  </r>
  <r>
    <n v="262"/>
    <x v="24"/>
    <x v="24"/>
    <x v="86"/>
    <n v="1986"/>
    <n v="0.98"/>
    <n v="0.08"/>
    <n v="0.43"/>
    <n v="0.49000000000000005"/>
    <n v="158.88"/>
    <n v="853.9799999999999"/>
    <n v="973.1400000000001"/>
    <n v="155.70239999999998"/>
    <n v="836.90039999999988"/>
    <n v="953.67720000000008"/>
  </r>
  <r>
    <n v="263"/>
    <x v="23"/>
    <x v="23"/>
    <x v="86"/>
    <n v="1761"/>
    <n v="1"/>
    <n v="0.1"/>
    <n v="0.4"/>
    <n v="0.5"/>
    <n v="176.10000000000002"/>
    <n v="704.4"/>
    <n v="880.5"/>
    <n v="176.10000000000002"/>
    <n v="704.4"/>
    <n v="880.5"/>
  </r>
  <r>
    <n v="264"/>
    <x v="22"/>
    <x v="22"/>
    <x v="87"/>
    <n v="1584"/>
    <n v="0.95"/>
    <n v="0.05"/>
    <n v="0.45"/>
    <n v="0.49999999999999994"/>
    <n v="79.2"/>
    <n v="712.80000000000007"/>
    <n v="791.99999999999989"/>
    <n v="75.239999999999995"/>
    <n v="677.16000000000008"/>
    <n v="752.39999999999986"/>
  </r>
  <r>
    <n v="265"/>
    <x v="39"/>
    <x v="39"/>
    <x v="87"/>
    <n v="1172"/>
    <n v="0.98"/>
    <n v="0.03"/>
    <n v="0.27"/>
    <n v="0.7"/>
    <n v="35.159999999999997"/>
    <n v="316.44000000000005"/>
    <n v="820.4"/>
    <n v="34.456799999999994"/>
    <n v="310.11120000000005"/>
    <n v="803.99199999999996"/>
  </r>
  <r>
    <n v="266"/>
    <x v="26"/>
    <x v="26"/>
    <x v="87"/>
    <n v="1893"/>
    <n v="0.98"/>
    <n v="0.03"/>
    <n v="0.37"/>
    <n v="0.6"/>
    <n v="56.79"/>
    <n v="700.41000000000008"/>
    <n v="1135.8"/>
    <n v="55.654199999999996"/>
    <n v="686.40180000000009"/>
    <n v="1113.0839999999998"/>
  </r>
  <r>
    <n v="267"/>
    <x v="12"/>
    <x v="12"/>
    <x v="87"/>
    <n v="563"/>
    <n v="0.98"/>
    <n v="0.03"/>
    <n v="0.27"/>
    <n v="0.7"/>
    <n v="16.89"/>
    <n v="152.01000000000005"/>
    <n v="394.09999999999997"/>
    <n v="16.552199999999999"/>
    <n v="148.96980000000005"/>
    <n v="386.21799999999996"/>
  </r>
  <r>
    <n v="268"/>
    <x v="2"/>
    <x v="2"/>
    <x v="87"/>
    <n v="1258"/>
    <n v="0.98"/>
    <n v="0.03"/>
    <n v="0.27"/>
    <n v="0.7"/>
    <n v="37.74"/>
    <n v="339.66000000000008"/>
    <n v="880.59999999999991"/>
    <n v="36.985199999999999"/>
    <n v="332.86680000000007"/>
    <n v="862.98799999999994"/>
  </r>
  <r>
    <n v="269"/>
    <x v="40"/>
    <x v="40"/>
    <x v="87"/>
    <n v="1242"/>
    <n v="0.98"/>
    <n v="0.03"/>
    <n v="0.27"/>
    <n v="0.7"/>
    <n v="37.26"/>
    <n v="335.34000000000003"/>
    <n v="869.4"/>
    <n v="36.514799999999994"/>
    <n v="328.63320000000004"/>
    <n v="852.01199999999994"/>
  </r>
  <r>
    <n v="270"/>
    <x v="41"/>
    <x v="41"/>
    <x v="88"/>
    <n v="1195"/>
    <n v="0.98"/>
    <n v="0.03"/>
    <n v="0.27"/>
    <n v="0.7"/>
    <n v="35.85"/>
    <n v="322.64999999999998"/>
    <n v="836.5"/>
    <n v="35.133000000000003"/>
    <n v="316.19699999999995"/>
    <n v="819.77"/>
  </r>
  <r>
    <n v="271"/>
    <x v="46"/>
    <x v="46"/>
    <x v="88"/>
    <n v="477"/>
    <n v="0.98"/>
    <n v="0.6"/>
    <n v="0.4"/>
    <n v="0"/>
    <n v="286.2"/>
    <n v="190.8"/>
    <n v="0"/>
    <n v="280.476"/>
    <n v="186.98400000000001"/>
    <n v="0"/>
  </r>
  <r>
    <n v="272"/>
    <x v="42"/>
    <x v="42"/>
    <x v="88"/>
    <n v="1969"/>
    <n v="0.98"/>
    <n v="0.65"/>
    <n v="0.35"/>
    <n v="0"/>
    <n v="1279.8500000000001"/>
    <n v="689.14999999999986"/>
    <n v="0"/>
    <n v="1254.2530000000002"/>
    <n v="675.36699999999985"/>
    <n v="0"/>
  </r>
  <r>
    <n v="273"/>
    <x v="31"/>
    <x v="31"/>
    <x v="88"/>
    <n v="2042"/>
    <n v="0.98"/>
    <n v="0.6"/>
    <n v="0.4"/>
    <n v="0"/>
    <n v="1225.2"/>
    <n v="816.8"/>
    <n v="0"/>
    <n v="1200.6959999999999"/>
    <n v="800.46399999999994"/>
    <n v="0"/>
  </r>
  <r>
    <n v="274"/>
    <x v="37"/>
    <x v="37"/>
    <x v="89"/>
    <n v="1489"/>
    <n v="0.98"/>
    <n v="0.1"/>
    <n v="0.4"/>
    <n v="0.5"/>
    <n v="148.9"/>
    <n v="595.6"/>
    <n v="744.5"/>
    <n v="145.922"/>
    <n v="583.68799999999999"/>
    <n v="729.61"/>
  </r>
  <r>
    <n v="275"/>
    <x v="47"/>
    <x v="47"/>
    <x v="89"/>
    <n v="141"/>
    <n v="0.98"/>
    <n v="0.03"/>
    <n v="0.27"/>
    <n v="0.7"/>
    <n v="4.2299999999999995"/>
    <n v="38.070000000000014"/>
    <n v="98.699999999999989"/>
    <n v="4.1453999999999995"/>
    <n v="37.308600000000013"/>
    <n v="96.725999999999985"/>
  </r>
  <r>
    <n v="276"/>
    <x v="4"/>
    <x v="4"/>
    <x v="89"/>
    <n v="765"/>
    <n v="0.98"/>
    <n v="0.7"/>
    <n v="0.3"/>
    <n v="0"/>
    <n v="535.5"/>
    <n v="229.5"/>
    <n v="0"/>
    <n v="524.79"/>
    <n v="224.91"/>
    <n v="0"/>
  </r>
  <r>
    <n v="277"/>
    <x v="48"/>
    <x v="48"/>
    <x v="89"/>
    <n v="286"/>
    <n v="0.98"/>
    <n v="0.03"/>
    <n v="0.27"/>
    <n v="0.7"/>
    <n v="8.58"/>
    <n v="77.220000000000013"/>
    <n v="200.2"/>
    <n v="8.4084000000000003"/>
    <n v="75.675600000000017"/>
    <n v="196.196"/>
  </r>
  <r>
    <n v="278"/>
    <x v="18"/>
    <x v="18"/>
    <x v="90"/>
    <n v="2150"/>
    <n v="0.93"/>
    <n v="0.15815000000000001"/>
    <n v="0.4"/>
    <n v="0.44184999999999997"/>
    <n v="340.02250000000004"/>
    <n v="860"/>
    <n v="949.97749999999996"/>
    <n v="316.22092500000002"/>
    <n v="799.80000000000007"/>
    <n v="883.47907499999997"/>
  </r>
  <r>
    <n v="279"/>
    <x v="33"/>
    <x v="33"/>
    <x v="90"/>
    <n v="1674"/>
    <n v="0.92"/>
    <n v="0.6"/>
    <n v="0.4"/>
    <n v="0"/>
    <n v="1004.4"/>
    <n v="669.6"/>
    <n v="0"/>
    <n v="924.048"/>
    <n v="616.03200000000004"/>
    <n v="0"/>
  </r>
  <r>
    <n v="280"/>
    <x v="43"/>
    <x v="43"/>
    <x v="90"/>
    <n v="1244"/>
    <n v="0.91"/>
    <n v="0.65"/>
    <n v="0.35"/>
    <n v="0"/>
    <n v="808.6"/>
    <n v="435.4"/>
    <n v="0"/>
    <n v="735.82600000000002"/>
    <n v="396.214"/>
    <n v="0"/>
  </r>
  <r>
    <n v="281"/>
    <x v="36"/>
    <x v="36"/>
    <x v="91"/>
    <n v="2696"/>
    <n v="0.82"/>
    <n v="0.1"/>
    <n v="0.4"/>
    <n v="0.5"/>
    <n v="269.60000000000002"/>
    <n v="1078.4000000000001"/>
    <n v="1348"/>
    <n v="221.072"/>
    <n v="884.28800000000001"/>
    <n v="1105.3599999999999"/>
  </r>
  <r>
    <n v="282"/>
    <x v="25"/>
    <x v="25"/>
    <x v="92"/>
    <n v="2099"/>
    <n v="0.5"/>
    <n v="0.17"/>
    <n v="0.4"/>
    <n v="0.42999999999999994"/>
    <n v="356.83000000000004"/>
    <n v="839.60000000000025"/>
    <n v="902.56999999999982"/>
    <n v="178.41500000000002"/>
    <n v="419.80000000000013"/>
    <n v="451.28499999999991"/>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r>
    <s v=""/>
    <x v="49"/>
    <x v="49"/>
    <x v="93"/>
    <m/>
    <m/>
    <m/>
    <m/>
    <m/>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8B2871-AFFF-48CA-BBB1-95BB47936AF9}"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colHeaderCaption="">
  <location ref="K2:T54" firstHeaderRow="1" firstDataRow="3" firstDataCol="1"/>
  <pivotFields count="18">
    <pivotField numFmtId="164" showAll="0"/>
    <pivotField axis="axisRow" showAll="0" sortType="descending">
      <items count="54">
        <item x="38"/>
        <item x="2"/>
        <item x="29"/>
        <item x="22"/>
        <item x="6"/>
        <item x="13"/>
        <item x="33"/>
        <item x="11"/>
        <item x="4"/>
        <item x="31"/>
        <item x="5"/>
        <item x="37"/>
        <item x="21"/>
        <item m="1" x="50"/>
        <item x="8"/>
        <item x="25"/>
        <item x="36"/>
        <item x="10"/>
        <item x="18"/>
        <item x="27"/>
        <item x="26"/>
        <item x="20"/>
        <item x="19"/>
        <item x="30"/>
        <item x="46"/>
        <item x="23"/>
        <item x="24"/>
        <item x="39"/>
        <item x="44"/>
        <item m="1" x="51"/>
        <item x="40"/>
        <item x="14"/>
        <item x="32"/>
        <item x="47"/>
        <item x="12"/>
        <item x="0"/>
        <item m="1" x="52"/>
        <item x="16"/>
        <item x="3"/>
        <item x="17"/>
        <item x="35"/>
        <item x="7"/>
        <item x="42"/>
        <item x="1"/>
        <item x="41"/>
        <item x="43"/>
        <item x="9"/>
        <item x="28"/>
        <item x="48"/>
        <item x="15"/>
        <item x="34"/>
        <item x="45"/>
        <item x="49"/>
        <item t="default"/>
      </items>
      <autoSortScope>
        <pivotArea dataOnly="0" outline="0" fieldPosition="0">
          <references count="1">
            <reference field="4294967294" count="1" selected="0">
              <x v="0"/>
            </reference>
          </references>
        </pivotArea>
      </autoSortScope>
    </pivotField>
    <pivotField showAll="0"/>
    <pivotField axis="axisCol"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numFmtId="1" showAll="0"/>
    <pivotField numFmtId="1" showAll="0"/>
    <pivotField numFmtId="1" showAll="0"/>
    <pivotField numFmtId="172" showAll="0"/>
    <pivotField numFmtId="172" showAll="0"/>
    <pivotField numFmtId="172" showAll="0"/>
    <pivotField showAll="0" defaultSubtotal="0">
      <items count="6">
        <item sd="0" x="0"/>
        <item sd="0" x="1"/>
        <item sd="0" x="2"/>
        <item sd="0" x="3"/>
        <item sd="0" x="4"/>
        <item sd="0" x="5"/>
      </items>
    </pivotField>
    <pivotField axis="axisCol" showAll="0" defaultSubtotal="0">
      <items count="4">
        <item h="1" sd="0" x="0"/>
        <item x="1"/>
        <item x="2"/>
        <item h="1" sd="0" x="3"/>
      </items>
    </pivotField>
    <pivotField dragToRow="0" dragToCol="0" dragToPage="0" showAll="0" defaultSubtotal="0"/>
  </pivotFields>
  <rowFields count="1">
    <field x="1"/>
  </rowFields>
  <rowItems count="50">
    <i>
      <x v="35"/>
    </i>
    <i>
      <x v="10"/>
    </i>
    <i>
      <x v="41"/>
    </i>
    <i>
      <x v="8"/>
    </i>
    <i>
      <x v="34"/>
    </i>
    <i>
      <x v="43"/>
    </i>
    <i>
      <x v="14"/>
    </i>
    <i>
      <x v="1"/>
    </i>
    <i>
      <x v="5"/>
    </i>
    <i>
      <x v="4"/>
    </i>
    <i>
      <x v="26"/>
    </i>
    <i>
      <x v="18"/>
    </i>
    <i>
      <x v="38"/>
    </i>
    <i>
      <x v="15"/>
    </i>
    <i>
      <x v="12"/>
    </i>
    <i>
      <x v="49"/>
    </i>
    <i>
      <x v="22"/>
    </i>
    <i>
      <x v="21"/>
    </i>
    <i>
      <x v="20"/>
    </i>
    <i>
      <x v="25"/>
    </i>
    <i>
      <x v="3"/>
    </i>
    <i>
      <x v="23"/>
    </i>
    <i>
      <x v="7"/>
    </i>
    <i>
      <x v="19"/>
    </i>
    <i>
      <x v="6"/>
    </i>
    <i>
      <x v="31"/>
    </i>
    <i>
      <x v="46"/>
    </i>
    <i>
      <x v="9"/>
    </i>
    <i>
      <x v="37"/>
    </i>
    <i>
      <x v="17"/>
    </i>
    <i>
      <x v="16"/>
    </i>
    <i>
      <x v="11"/>
    </i>
    <i>
      <x v="42"/>
    </i>
    <i>
      <x/>
    </i>
    <i>
      <x v="30"/>
    </i>
    <i>
      <x v="47"/>
    </i>
    <i>
      <x v="45"/>
    </i>
    <i>
      <x v="27"/>
    </i>
    <i>
      <x v="44"/>
    </i>
    <i>
      <x v="39"/>
    </i>
    <i>
      <x v="40"/>
    </i>
    <i>
      <x v="50"/>
    </i>
    <i>
      <x v="2"/>
    </i>
    <i>
      <x v="32"/>
    </i>
    <i>
      <x v="28"/>
    </i>
    <i>
      <x v="24"/>
    </i>
    <i>
      <x v="48"/>
    </i>
    <i>
      <x v="33"/>
    </i>
    <i>
      <x v="51"/>
    </i>
    <i t="grand">
      <x/>
    </i>
  </rowItems>
  <colFields count="2">
    <field x="16"/>
    <field x="3"/>
  </colFields>
  <colItems count="9">
    <i>
      <x v="1"/>
      <x v="7"/>
    </i>
    <i r="1">
      <x v="8"/>
    </i>
    <i r="1">
      <x v="9"/>
    </i>
    <i r="1">
      <x v="10"/>
    </i>
    <i r="1">
      <x v="11"/>
    </i>
    <i r="1">
      <x v="12"/>
    </i>
    <i>
      <x v="2"/>
      <x v="1"/>
    </i>
    <i r="1">
      <x v="2"/>
    </i>
    <i t="grand">
      <x/>
    </i>
  </colItems>
  <dataFields count="1">
    <dataField name="User Monthly" fld="4" baseField="0" baseItem="0" numFmtId="167"/>
  </dataFields>
  <formats count="24">
    <format dxfId="84">
      <pivotArea outline="0" collapsedLevelsAreSubtotals="1" fieldPosition="0"/>
    </format>
    <format dxfId="83">
      <pivotArea grandRow="1" outline="0" collapsedLevelsAreSubtotals="1" fieldPosition="0"/>
    </format>
    <format dxfId="82">
      <pivotArea dataOnly="0" labelOnly="1" grandRow="1" outline="0" fieldPosition="0"/>
    </format>
    <format dxfId="81">
      <pivotArea grandRow="1" grandCol="1" outline="0" collapsedLevelsAreSubtotals="1" fieldPosition="0"/>
    </format>
    <format dxfId="80">
      <pivotArea grandRow="1" grandCol="1" outline="0" collapsedLevelsAreSubtotals="1" fieldPosition="0"/>
    </format>
    <format dxfId="79">
      <pivotArea grandRow="1" grandCol="1" outline="0" collapsedLevelsAreSubtotals="1" fieldPosition="0"/>
    </format>
    <format dxfId="78">
      <pivotArea type="all" dataOnly="0" outline="0" fieldPosition="0"/>
    </format>
    <format dxfId="77">
      <pivotArea outline="0" collapsedLevelsAreSubtotals="1" fieldPosition="0"/>
    </format>
    <format dxfId="76">
      <pivotArea type="origin" dataOnly="0" labelOnly="1" outline="0" fieldPosition="0"/>
    </format>
    <format dxfId="75">
      <pivotArea field="16" type="button" dataOnly="0" labelOnly="1" outline="0" axis="axisCol" fieldPosition="0"/>
    </format>
    <format dxfId="74">
      <pivotArea field="3" type="button" dataOnly="0" labelOnly="1" outline="0" axis="axisCol" fieldPosition="1"/>
    </format>
    <format dxfId="73">
      <pivotArea type="topRight" dataOnly="0" labelOnly="1" outline="0" fieldPosition="0"/>
    </format>
    <format dxfId="72">
      <pivotArea field="1" type="button" dataOnly="0" labelOnly="1" outline="0" axis="axisRow" fieldPosition="0"/>
    </format>
    <format dxfId="71">
      <pivotArea dataOnly="0" labelOnly="1" grandRow="1" outline="0" fieldPosition="0"/>
    </format>
    <format dxfId="70">
      <pivotArea dataOnly="0" labelOnly="1" fieldPosition="0">
        <references count="1">
          <reference field="16" count="0"/>
        </references>
      </pivotArea>
    </format>
    <format dxfId="69">
      <pivotArea dataOnly="0" labelOnly="1" grandCol="1" outline="0" fieldPosition="0"/>
    </format>
    <format dxfId="68">
      <pivotArea dataOnly="0" labelOnly="1" fieldPosition="0">
        <references count="2">
          <reference field="3" count="6">
            <x v="7"/>
            <x v="8"/>
            <x v="9"/>
            <x v="10"/>
            <x v="11"/>
            <x v="12"/>
          </reference>
          <reference field="16" count="1" selected="0">
            <x v="1"/>
          </reference>
        </references>
      </pivotArea>
    </format>
    <format dxfId="67">
      <pivotArea dataOnly="0" labelOnly="1" fieldPosition="0">
        <references count="2">
          <reference field="3" count="2">
            <x v="1"/>
            <x v="2"/>
          </reference>
          <reference field="16" count="1" selected="0">
            <x v="2"/>
          </reference>
        </references>
      </pivotArea>
    </format>
    <format dxfId="66">
      <pivotArea type="origin" dataOnly="0" labelOnly="1" outline="0" fieldPosition="0"/>
    </format>
    <format dxfId="65">
      <pivotArea dataOnly="0" labelOnly="1" grandCol="1" outline="0" fieldPosition="0"/>
    </format>
    <format dxfId="64">
      <pivotArea grandRow="1" outline="0" collapsedLevelsAreSubtotals="1" fieldPosition="0"/>
    </format>
    <format dxfId="63">
      <pivotArea collapsedLevelsAreSubtotals="1" fieldPosition="0">
        <references count="1">
          <reference field="1" count="49">
            <x v="0"/>
            <x v="1"/>
            <x v="2"/>
            <x v="3"/>
            <x v="4"/>
            <x v="5"/>
            <x v="6"/>
            <x v="7"/>
            <x v="8"/>
            <x v="9"/>
            <x v="10"/>
            <x v="11"/>
            <x v="12"/>
            <x v="14"/>
            <x v="15"/>
            <x v="16"/>
            <x v="17"/>
            <x v="18"/>
            <x v="19"/>
            <x v="20"/>
            <x v="21"/>
            <x v="22"/>
            <x v="23"/>
            <x v="24"/>
            <x v="25"/>
            <x v="26"/>
            <x v="27"/>
            <x v="28"/>
            <x v="30"/>
            <x v="31"/>
            <x v="32"/>
            <x v="33"/>
            <x v="34"/>
            <x v="35"/>
            <x v="37"/>
            <x v="38"/>
            <x v="39"/>
            <x v="40"/>
            <x v="41"/>
            <x v="42"/>
            <x v="43"/>
            <x v="44"/>
            <x v="45"/>
            <x v="46"/>
            <x v="47"/>
            <x v="48"/>
            <x v="49"/>
            <x v="50"/>
            <x v="51"/>
          </reference>
        </references>
      </pivotArea>
    </format>
    <format dxfId="62">
      <pivotArea dataOnly="0" labelOnly="1" fieldPosition="0">
        <references count="1">
          <reference field="1" count="49">
            <x v="0"/>
            <x v="1"/>
            <x v="2"/>
            <x v="3"/>
            <x v="4"/>
            <x v="5"/>
            <x v="6"/>
            <x v="7"/>
            <x v="8"/>
            <x v="9"/>
            <x v="10"/>
            <x v="11"/>
            <x v="12"/>
            <x v="14"/>
            <x v="15"/>
            <x v="16"/>
            <x v="17"/>
            <x v="18"/>
            <x v="19"/>
            <x v="20"/>
            <x v="21"/>
            <x v="22"/>
            <x v="23"/>
            <x v="24"/>
            <x v="25"/>
            <x v="26"/>
            <x v="27"/>
            <x v="28"/>
            <x v="30"/>
            <x v="31"/>
            <x v="32"/>
            <x v="33"/>
            <x v="34"/>
            <x v="35"/>
            <x v="37"/>
            <x v="38"/>
            <x v="39"/>
            <x v="40"/>
            <x v="41"/>
            <x v="42"/>
            <x v="43"/>
            <x v="44"/>
            <x v="45"/>
            <x v="46"/>
            <x v="47"/>
            <x v="48"/>
            <x v="49"/>
            <x v="50"/>
            <x v="51"/>
          </reference>
        </references>
      </pivotArea>
    </format>
    <format dxfId="61">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2FAB2E-2D2B-4C7E-89E6-B92020062E12}" name="*Monthly Average SLP Price"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47" rowHeaderCaption="">
  <location ref="B2:C12" firstHeaderRow="1" firstDataRow="1" firstDataCol="1"/>
  <pivotFields count="19">
    <pivotField numFmtId="164"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7">
        <item x="0"/>
        <item x="1"/>
        <item x="2"/>
        <item x="3"/>
        <item x="4"/>
        <item x="5"/>
        <item t="default"/>
      </items>
    </pivotField>
    <pivotField axis="axisRow" showAll="0" sortType="ascending">
      <items count="5">
        <item h="1" x="0"/>
        <item h="1" x="3"/>
        <item x="1"/>
        <item x="2"/>
        <item t="default"/>
      </items>
    </pivotField>
  </pivotFields>
  <rowFields count="2">
    <field x="18"/>
    <field x="3"/>
  </rowFields>
  <rowItems count="10">
    <i>
      <x v="2"/>
    </i>
    <i r="1">
      <x v="7"/>
    </i>
    <i r="1">
      <x v="8"/>
    </i>
    <i r="1">
      <x v="9"/>
    </i>
    <i r="1">
      <x v="10"/>
    </i>
    <i r="1">
      <x v="11"/>
    </i>
    <i r="1">
      <x v="12"/>
    </i>
    <i>
      <x v="3"/>
    </i>
    <i r="1">
      <x v="1"/>
    </i>
    <i r="1">
      <x v="2"/>
    </i>
  </rowItems>
  <colItems count="1">
    <i/>
  </colItems>
  <dataFields count="1">
    <dataField name="Monthly Average SLP Price" fld="5" subtotal="average" baseField="18" baseItem="2" numFmtId="170"/>
  </dataFields>
  <formats count="19">
    <format dxfId="103">
      <pivotArea outline="0" collapsedLevelsAreSubtotals="1" fieldPosition="0"/>
    </format>
    <format dxfId="102">
      <pivotArea type="all" dataOnly="0" outline="0" fieldPosition="0"/>
    </format>
    <format dxfId="101">
      <pivotArea outline="0" collapsedLevelsAreSubtotals="1" fieldPosition="0"/>
    </format>
    <format dxfId="100">
      <pivotArea dataOnly="0" labelOnly="1" grandRow="1" outline="0" fieldPosition="0"/>
    </format>
    <format dxfId="99">
      <pivotArea dataOnly="0" labelOnly="1" outline="0" axis="axisValues" fieldPosition="0"/>
    </format>
    <format dxfId="98">
      <pivotArea type="all" dataOnly="0" outline="0" fieldPosition="0"/>
    </format>
    <format dxfId="97">
      <pivotArea outline="0" collapsedLevelsAreSubtotals="1" fieldPosition="0"/>
    </format>
    <format dxfId="96">
      <pivotArea dataOnly="0" labelOnly="1" grandRow="1" outline="0" fieldPosition="0"/>
    </format>
    <format dxfId="95">
      <pivotArea outline="0" collapsedLevelsAreSubtotals="1" fieldPosition="0"/>
    </format>
    <format dxfId="94">
      <pivotArea dataOnly="0" labelOnly="1" fieldPosition="0">
        <references count="1">
          <reference field="18" count="0"/>
        </references>
      </pivotArea>
    </format>
    <format dxfId="93">
      <pivotArea dataOnly="0" labelOnly="1" fieldPosition="0">
        <references count="2">
          <reference field="3" count="6">
            <x v="7"/>
            <x v="8"/>
            <x v="9"/>
            <x v="10"/>
            <x v="11"/>
            <x v="12"/>
          </reference>
          <reference field="18" count="1" selected="0">
            <x v="2"/>
          </reference>
        </references>
      </pivotArea>
    </format>
    <format dxfId="92">
      <pivotArea dataOnly="0" labelOnly="1" fieldPosition="0">
        <references count="2">
          <reference field="3" count="2">
            <x v="1"/>
            <x v="2"/>
          </reference>
          <reference field="18" count="1" selected="0">
            <x v="3"/>
          </reference>
        </references>
      </pivotArea>
    </format>
    <format dxfId="91">
      <pivotArea type="all" dataOnly="0" outline="0" fieldPosition="0"/>
    </format>
    <format dxfId="90">
      <pivotArea outline="0" collapsedLevelsAreSubtotals="1" fieldPosition="0"/>
    </format>
    <format dxfId="89">
      <pivotArea field="18" type="button" dataOnly="0" labelOnly="1" outline="0" axis="axisRow" fieldPosition="0"/>
    </format>
    <format dxfId="88">
      <pivotArea dataOnly="0" labelOnly="1" fieldPosition="0">
        <references count="1">
          <reference field="18" count="0"/>
        </references>
      </pivotArea>
    </format>
    <format dxfId="87">
      <pivotArea dataOnly="0" labelOnly="1" fieldPosition="0">
        <references count="2">
          <reference field="3" count="6">
            <x v="7"/>
            <x v="8"/>
            <x v="9"/>
            <x v="10"/>
            <x v="11"/>
            <x v="12"/>
          </reference>
          <reference field="18" count="1" selected="0">
            <x v="2"/>
          </reference>
        </references>
      </pivotArea>
    </format>
    <format dxfId="86">
      <pivotArea dataOnly="0" labelOnly="1" fieldPosition="0">
        <references count="2">
          <reference field="3" count="2">
            <x v="1"/>
            <x v="2"/>
          </reference>
          <reference field="18" count="1" selected="0">
            <x v="3"/>
          </reference>
        </references>
      </pivotArea>
    </format>
    <format dxfId="85">
      <pivotArea dataOnly="0" labelOnly="1" outline="0" axis="axisValues" fieldPosition="0"/>
    </format>
  </formats>
  <chartFormats count="1">
    <chartFormat chart="4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EA39AC-2878-4C7C-A9CE-132D4FA9B90A}"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E14:F30" firstHeaderRow="1" firstDataRow="1" firstDataCol="1"/>
  <pivotFields count="18">
    <pivotField showAll="0"/>
    <pivotField axis="axisRow" showAll="0" measureFilter="1" sortType="descending">
      <items count="54">
        <item x="38"/>
        <item x="2"/>
        <item x="29"/>
        <item x="22"/>
        <item x="6"/>
        <item x="13"/>
        <item x="33"/>
        <item x="11"/>
        <item x="4"/>
        <item x="31"/>
        <item x="5"/>
        <item x="37"/>
        <item x="21"/>
        <item m="1" x="50"/>
        <item x="8"/>
        <item x="25"/>
        <item x="36"/>
        <item x="10"/>
        <item x="18"/>
        <item x="27"/>
        <item x="26"/>
        <item x="20"/>
        <item x="19"/>
        <item x="30"/>
        <item x="46"/>
        <item x="23"/>
        <item x="24"/>
        <item x="39"/>
        <item x="44"/>
        <item m="1" x="51"/>
        <item x="40"/>
        <item x="14"/>
        <item x="32"/>
        <item x="47"/>
        <item x="12"/>
        <item x="0"/>
        <item m="1" x="52"/>
        <item x="16"/>
        <item x="3"/>
        <item x="17"/>
        <item x="35"/>
        <item x="7"/>
        <item x="42"/>
        <item x="1"/>
        <item x="41"/>
        <item x="43"/>
        <item x="9"/>
        <item x="28"/>
        <item x="48"/>
        <item x="15"/>
        <item x="34"/>
        <item x="45"/>
        <item x="49"/>
        <item t="default"/>
      </items>
      <autoSortScope>
        <pivotArea dataOnly="0" outline="0" fieldPosition="0">
          <references count="1">
            <reference field="4294967294" count="1" selected="0">
              <x v="0"/>
            </reference>
          </references>
        </pivotArea>
      </autoSortScope>
    </pivotField>
    <pivotField numFmtId="166" showAll="0">
      <items count="51">
        <item x="49"/>
        <item x="0"/>
        <item x="3"/>
        <item x="1"/>
        <item x="41"/>
        <item x="17"/>
        <item x="44"/>
        <item x="20"/>
        <item x="18"/>
        <item x="4"/>
        <item x="38"/>
        <item x="46"/>
        <item x="42"/>
        <item x="31"/>
        <item x="6"/>
        <item x="39"/>
        <item x="5"/>
        <item x="15"/>
        <item x="16"/>
        <item x="9"/>
        <item x="14"/>
        <item x="34"/>
        <item x="26"/>
        <item x="47"/>
        <item x="11"/>
        <item x="37"/>
        <item x="13"/>
        <item x="36"/>
        <item x="25"/>
        <item x="10"/>
        <item x="12"/>
        <item x="43"/>
        <item x="40"/>
        <item x="2"/>
        <item x="45"/>
        <item x="22"/>
        <item x="29"/>
        <item x="21"/>
        <item x="23"/>
        <item x="19"/>
        <item x="33"/>
        <item x="7"/>
        <item x="24"/>
        <item x="30"/>
        <item x="32"/>
        <item x="28"/>
        <item x="35"/>
        <item x="27"/>
        <item x="48"/>
        <item x="8"/>
        <item t="default"/>
      </items>
    </pivotField>
    <pivotField showAll="0"/>
    <pivotField dataField="1" showAll="0"/>
    <pivotField showAll="0"/>
    <pivotField showAll="0"/>
    <pivotField showAll="0"/>
    <pivotField showAll="0"/>
    <pivotField numFmtId="1" showAll="0"/>
    <pivotField numFmtId="1" showAll="0"/>
    <pivotField numFmtId="1" showAll="0"/>
    <pivotField numFmtId="172" showAll="0"/>
    <pivotField numFmtId="172" showAll="0"/>
    <pivotField numFmtId="172" showAll="0"/>
    <pivotField showAll="0" defaultSubtotal="0"/>
    <pivotField showAll="0" defaultSubtotal="0"/>
    <pivotField dragToRow="0" dragToCol="0" dragToPage="0" showAll="0" defaultSubtotal="0"/>
  </pivotFields>
  <rowFields count="1">
    <field x="1"/>
  </rowFields>
  <rowItems count="16">
    <i>
      <x v="35"/>
    </i>
    <i>
      <x v="10"/>
    </i>
    <i>
      <x v="41"/>
    </i>
    <i>
      <x v="8"/>
    </i>
    <i>
      <x v="34"/>
    </i>
    <i>
      <x v="43"/>
    </i>
    <i>
      <x v="14"/>
    </i>
    <i>
      <x v="1"/>
    </i>
    <i>
      <x v="5"/>
    </i>
    <i>
      <x v="4"/>
    </i>
    <i>
      <x v="26"/>
    </i>
    <i>
      <x v="18"/>
    </i>
    <i>
      <x v="38"/>
    </i>
    <i>
      <x v="15"/>
    </i>
    <i>
      <x v="12"/>
    </i>
    <i t="grand">
      <x/>
    </i>
  </rowItems>
  <colItems count="1">
    <i/>
  </colItems>
  <dataFields count="1">
    <dataField name="Sum of slp_farmed" fld="4" baseField="0" baseItem="0" numFmtId="167"/>
  </dataFields>
  <formats count="1">
    <format dxfId="104">
      <pivotArea outline="0" collapsedLevelsAreSubtotals="1" fieldPosition="0"/>
    </format>
  </format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3" iMeasureFld="0">
      <autoFilter ref="A1">
        <filterColumn colId="0">
          <customFilters>
            <customFilter operator="greaterThan" val="2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1FEB86-A7C8-46C0-AF1D-3BE6C89D1FC8}" name="PivotTable8"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B14:C63" firstHeaderRow="1" firstDataRow="1" firstDataCol="1"/>
  <pivotFields count="11">
    <pivotField showAll="0"/>
    <pivotField axis="axisRow" showAll="0" sortType="descending">
      <items count="51">
        <item x="9"/>
        <item x="32"/>
        <item x="35"/>
        <item x="34"/>
        <item x="13"/>
        <item x="25"/>
        <item x="39"/>
        <item x="23"/>
        <item x="8"/>
        <item x="12"/>
        <item x="15"/>
        <item x="24"/>
        <item x="36"/>
        <item x="48"/>
        <item x="27"/>
        <item x="26"/>
        <item x="28"/>
        <item x="7"/>
        <item x="46"/>
        <item x="21"/>
        <item x="6"/>
        <item x="38"/>
        <item x="42"/>
        <item x="10"/>
        <item x="37"/>
        <item x="41"/>
        <item x="14"/>
        <item x="5"/>
        <item x="31"/>
        <item x="19"/>
        <item x="43"/>
        <item x="22"/>
        <item x="29"/>
        <item x="0"/>
        <item x="17"/>
        <item x="1"/>
        <item x="4"/>
        <item x="45"/>
        <item x="40"/>
        <item x="11"/>
        <item x="2"/>
        <item x="3"/>
        <item x="30"/>
        <item x="18"/>
        <item x="44"/>
        <item x="47"/>
        <item x="16"/>
        <item x="20"/>
        <item x="33"/>
        <item h="1" x="4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items count="15">
        <item x="0"/>
        <item x="1"/>
        <item x="2"/>
        <item x="3"/>
        <item x="4"/>
        <item x="5"/>
        <item x="6"/>
        <item x="7"/>
        <item x="8"/>
        <item x="9"/>
        <item x="10"/>
        <item x="11"/>
        <item x="12"/>
        <item x="13"/>
        <item t="default"/>
      </items>
    </pivotField>
    <pivotField showAll="0"/>
    <pivotField showAll="0"/>
    <pivotField showAll="0"/>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1"/>
  </rowFields>
  <rowItems count="49">
    <i>
      <x v="11"/>
    </i>
    <i>
      <x v="14"/>
    </i>
    <i>
      <x v="3"/>
    </i>
    <i>
      <x v="25"/>
    </i>
    <i>
      <x v="38"/>
    </i>
    <i>
      <x v="12"/>
    </i>
    <i>
      <x v="24"/>
    </i>
    <i>
      <x v="15"/>
    </i>
    <i>
      <x v="4"/>
    </i>
    <i>
      <x v="10"/>
    </i>
    <i>
      <x v="6"/>
    </i>
    <i>
      <x v="42"/>
    </i>
    <i>
      <x v="17"/>
    </i>
    <i>
      <x v="45"/>
    </i>
    <i>
      <x v="8"/>
    </i>
    <i>
      <x v="31"/>
    </i>
    <i>
      <x v="48"/>
    </i>
    <i>
      <x v="27"/>
    </i>
    <i>
      <x v="9"/>
    </i>
    <i>
      <x v="39"/>
    </i>
    <i>
      <x v="23"/>
    </i>
    <i>
      <x v="41"/>
    </i>
    <i>
      <x v="28"/>
    </i>
    <i>
      <x v="19"/>
    </i>
    <i>
      <x v="32"/>
    </i>
    <i>
      <x v="1"/>
    </i>
    <i>
      <x v="26"/>
    </i>
    <i>
      <x/>
    </i>
    <i>
      <x v="21"/>
    </i>
    <i>
      <x v="33"/>
    </i>
    <i>
      <x v="22"/>
    </i>
    <i>
      <x v="37"/>
    </i>
    <i>
      <x v="7"/>
    </i>
    <i>
      <x v="5"/>
    </i>
    <i>
      <x v="13"/>
    </i>
    <i>
      <x v="20"/>
    </i>
    <i>
      <x v="18"/>
    </i>
    <i>
      <x v="47"/>
    </i>
    <i>
      <x v="46"/>
    </i>
    <i>
      <x v="35"/>
    </i>
    <i>
      <x v="40"/>
    </i>
    <i>
      <x v="44"/>
    </i>
    <i>
      <x v="30"/>
    </i>
    <i>
      <x v="2"/>
    </i>
    <i>
      <x v="29"/>
    </i>
    <i>
      <x v="36"/>
    </i>
    <i>
      <x v="34"/>
    </i>
    <i>
      <x v="43"/>
    </i>
    <i>
      <x v="16"/>
    </i>
  </rowItems>
  <colItems count="1">
    <i/>
  </colItems>
  <dataFields count="1">
    <dataField name="Next Payout" fld="5" baseField="1" baseItem="12" numFmtId="14"/>
  </dataFields>
  <formats count="2">
    <format dxfId="106">
      <pivotArea outline="0" collapsedLevelsAreSubtotals="1" fieldPosition="0"/>
    </format>
    <format dxfId="105">
      <pivotArea dataOnly="0" labelOnly="1" fieldPosition="0">
        <references count="1">
          <reference field="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8C070B-A842-4801-9EAC-E312E21AF3D2}" name="*Users SLP Per Month" cacheId="1" applyNumberFormats="0" applyBorderFormats="0" applyFontFormats="0" applyPatternFormats="0" applyAlignmentFormats="0" applyWidthHeightFormats="1" dataCaption="Values" updatedVersion="7" minRefreshableVersion="3" useAutoFormatting="1" itemPrintTitles="1" createdVersion="7" indent="0" showHeaders="0" outline="1" outlineData="1" multipleFieldFilters="0" chartFormat="94">
  <location ref="H2:I13" firstHeaderRow="1" firstDataRow="1" firstDataCol="1"/>
  <pivotFields count="19">
    <pivotField numFmtId="164" showAll="0"/>
    <pivotField showAll="0" sortType="descending">
      <items count="91">
        <item m="1" x="59"/>
        <item x="38"/>
        <item m="1" x="89"/>
        <item m="1" x="64"/>
        <item m="1" x="68"/>
        <item m="1" x="66"/>
        <item m="1" x="73"/>
        <item m="1" x="77"/>
        <item m="1" x="70"/>
        <item m="1" x="83"/>
        <item m="1" x="80"/>
        <item x="19"/>
        <item m="1" x="57"/>
        <item m="1" x="53"/>
        <item m="1" x="54"/>
        <item m="1" x="51"/>
        <item m="1" x="72"/>
        <item x="30"/>
        <item m="1" x="60"/>
        <item m="1" x="78"/>
        <item m="1" x="81"/>
        <item m="1" x="84"/>
        <item m="1" x="75"/>
        <item m="1" x="79"/>
        <item m="1" x="86"/>
        <item m="1" x="62"/>
        <item m="1" x="55"/>
        <item m="1" x="85"/>
        <item x="24"/>
        <item m="1" x="82"/>
        <item m="1" x="61"/>
        <item m="1" x="67"/>
        <item m="1" x="69"/>
        <item m="1" x="58"/>
        <item m="1" x="71"/>
        <item m="1" x="65"/>
        <item m="1" x="74"/>
        <item m="1" x="63"/>
        <item x="32"/>
        <item m="1" x="50"/>
        <item n="Raze" m="1" x="87"/>
        <item x="16"/>
        <item m="1" x="52"/>
        <item m="1" x="88"/>
        <item x="43"/>
        <item x="9"/>
        <item x="28"/>
        <item x="1"/>
        <item x="2"/>
        <item x="3"/>
        <item x="4"/>
        <item x="5"/>
        <item x="6"/>
        <item x="7"/>
        <item x="8"/>
        <item x="10"/>
        <item x="11"/>
        <item x="12"/>
        <item x="13"/>
        <item m="1" x="56"/>
        <item x="15"/>
        <item x="17"/>
        <item x="18"/>
        <item x="20"/>
        <item x="21"/>
        <item x="22"/>
        <item x="23"/>
        <item x="25"/>
        <item x="26"/>
        <item x="27"/>
        <item x="29"/>
        <item x="31"/>
        <item x="33"/>
        <item x="34"/>
        <item x="35"/>
        <item x="36"/>
        <item x="37"/>
        <item x="39"/>
        <item x="40"/>
        <item x="41"/>
        <item x="42"/>
        <item x="44"/>
        <item x="45"/>
        <item n="Jogo" m="1" x="76"/>
        <item x="47"/>
        <item x="48"/>
        <item x="49"/>
        <item x="14"/>
        <item n="Jogo2" x="46"/>
        <item n="Raze2" x="0"/>
        <item t="default"/>
      </items>
      <autoSortScope>
        <pivotArea dataOnly="0" outline="0" fieldPosition="0">
          <references count="1">
            <reference field="4294967294" count="1" selected="0">
              <x v="0"/>
            </reference>
          </references>
        </pivotArea>
      </autoSortScope>
    </pivotField>
    <pivotField showAll="0"/>
    <pivotField axis="axisRow" numFmtId="14" showAll="0">
      <items count="15">
        <item x="0"/>
        <item x="1"/>
        <item x="2"/>
        <item x="3"/>
        <item x="4"/>
        <item x="5"/>
        <item x="6"/>
        <item x="7"/>
        <item x="8"/>
        <item x="9"/>
        <item x="10"/>
        <item x="11"/>
        <item x="12"/>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7">
        <item sd="0" x="0"/>
        <item x="1"/>
        <item sd="0" x="2"/>
        <item x="3"/>
        <item x="4"/>
        <item sd="0" x="5"/>
        <item t="default"/>
      </items>
    </pivotField>
    <pivotField axis="axisRow" showAll="0" defaultSubtotal="0">
      <items count="4">
        <item h="1" sd="0" x="0"/>
        <item x="1"/>
        <item x="2"/>
        <item h="1" sd="0" x="3"/>
      </items>
    </pivotField>
  </pivotFields>
  <rowFields count="2">
    <field x="18"/>
    <field x="3"/>
  </rowFields>
  <rowItems count="11">
    <i>
      <x v="1"/>
    </i>
    <i r="1">
      <x v="7"/>
    </i>
    <i r="1">
      <x v="8"/>
    </i>
    <i r="1">
      <x v="9"/>
    </i>
    <i r="1">
      <x v="10"/>
    </i>
    <i r="1">
      <x v="11"/>
    </i>
    <i r="1">
      <x v="12"/>
    </i>
    <i>
      <x v="2"/>
    </i>
    <i r="1">
      <x v="1"/>
    </i>
    <i r="1">
      <x v="2"/>
    </i>
    <i t="grand">
      <x/>
    </i>
  </rowItems>
  <colItems count="1">
    <i/>
  </colItems>
  <dataFields count="1">
    <dataField name="Total SLP Monthly" fld="4" baseField="18" baseItem="1" numFmtId="167"/>
  </dataFields>
  <formats count="35">
    <format dxfId="141">
      <pivotArea outline="0" collapsedLevelsAreSubtotals="1" fieldPosition="0"/>
    </format>
    <format dxfId="140">
      <pivotArea dataOnly="0" labelOnly="1" grandCol="1" outline="0" fieldPosition="0"/>
    </format>
    <format dxfId="139">
      <pivotArea type="all" dataOnly="0" outline="0" fieldPosition="0"/>
    </format>
    <format dxfId="138">
      <pivotArea outline="0" collapsedLevelsAreSubtotals="1" fieldPosition="0"/>
    </format>
    <format dxfId="137">
      <pivotArea type="origin" dataOnly="0" labelOnly="1" outline="0" fieldPosition="0"/>
    </format>
    <format dxfId="136">
      <pivotArea field="3" type="button" dataOnly="0" labelOnly="1" outline="0" axis="axisRow" fieldPosition="1"/>
    </format>
    <format dxfId="135">
      <pivotArea type="topRight" dataOnly="0" labelOnly="1" outline="0" fieldPosition="0"/>
    </format>
    <format dxfId="134">
      <pivotArea field="1" type="button" dataOnly="0" labelOnly="1" outline="0"/>
    </format>
    <format dxfId="133">
      <pivotArea dataOnly="0" labelOnly="1" grandRow="1" outline="0" fieldPosition="0"/>
    </format>
    <format dxfId="132">
      <pivotArea dataOnly="0" labelOnly="1" grandCol="1" outline="0" fieldPosition="0"/>
    </format>
    <format dxfId="131">
      <pivotArea type="all" dataOnly="0" outline="0" fieldPosition="0"/>
    </format>
    <format dxfId="130">
      <pivotArea type="origin" dataOnly="0" labelOnly="1" outline="0" fieldPosition="0"/>
    </format>
    <format dxfId="129">
      <pivotArea field="3" type="button" dataOnly="0" labelOnly="1" outline="0" axis="axisRow" fieldPosition="1"/>
    </format>
    <format dxfId="128">
      <pivotArea type="topRight" dataOnly="0" labelOnly="1" outline="0" fieldPosition="0"/>
    </format>
    <format dxfId="127">
      <pivotArea field="1" type="button" dataOnly="0" labelOnly="1" outline="0"/>
    </format>
    <format dxfId="126">
      <pivotArea dataOnly="0" labelOnly="1" grandRow="1" outline="0" fieldPosition="0"/>
    </format>
    <format dxfId="125">
      <pivotArea dataOnly="0" labelOnly="1" grandCol="1" outline="0" fieldPosition="0"/>
    </format>
    <format dxfId="124">
      <pivotArea collapsedLevelsAreSubtotals="1" fieldPosition="0">
        <references count="1">
          <reference field="18" count="1">
            <x v="1"/>
          </reference>
        </references>
      </pivotArea>
    </format>
    <format dxfId="123">
      <pivotArea collapsedLevelsAreSubtotals="1" fieldPosition="0">
        <references count="2">
          <reference field="3" count="6">
            <x v="7"/>
            <x v="8"/>
            <x v="9"/>
            <x v="10"/>
            <x v="11"/>
            <x v="12"/>
          </reference>
          <reference field="18" count="1" selected="0">
            <x v="1"/>
          </reference>
        </references>
      </pivotArea>
    </format>
    <format dxfId="122">
      <pivotArea collapsedLevelsAreSubtotals="1" fieldPosition="0">
        <references count="1">
          <reference field="18" count="1">
            <x v="2"/>
          </reference>
        </references>
      </pivotArea>
    </format>
    <format dxfId="121">
      <pivotArea collapsedLevelsAreSubtotals="1" fieldPosition="0">
        <references count="2">
          <reference field="3" count="2">
            <x v="1"/>
            <x v="2"/>
          </reference>
          <reference field="18" count="1" selected="0">
            <x v="2"/>
          </reference>
        </references>
      </pivotArea>
    </format>
    <format dxfId="120">
      <pivotArea dataOnly="0" labelOnly="1" fieldPosition="0">
        <references count="1">
          <reference field="18" count="2">
            <x v="1"/>
            <x v="2"/>
          </reference>
        </references>
      </pivotArea>
    </format>
    <format dxfId="119">
      <pivotArea dataOnly="0" labelOnly="1" fieldPosition="0">
        <references count="2">
          <reference field="3" count="6">
            <x v="7"/>
            <x v="8"/>
            <x v="9"/>
            <x v="10"/>
            <x v="11"/>
            <x v="12"/>
          </reference>
          <reference field="18" count="1" selected="0">
            <x v="1"/>
          </reference>
        </references>
      </pivotArea>
    </format>
    <format dxfId="118">
      <pivotArea dataOnly="0" labelOnly="1" fieldPosition="0">
        <references count="2">
          <reference field="3" count="2">
            <x v="1"/>
            <x v="2"/>
          </reference>
          <reference field="18" count="1" selected="0">
            <x v="2"/>
          </reference>
        </references>
      </pivotArea>
    </format>
    <format dxfId="117">
      <pivotArea grandRow="1" outline="0" collapsedLevelsAreSubtotals="1" fieldPosition="0"/>
    </format>
    <format dxfId="116">
      <pivotArea dataOnly="0" labelOnly="1" grandRow="1" outline="0" fieldPosition="0"/>
    </format>
    <format dxfId="115">
      <pivotArea grandRow="1" outline="0" collapsedLevelsAreSubtotals="1" fieldPosition="0"/>
    </format>
    <format dxfId="114">
      <pivotArea type="all" dataOnly="0" outline="0" fieldPosition="0"/>
    </format>
    <format dxfId="113">
      <pivotArea outline="0" collapsedLevelsAreSubtotals="1" fieldPosition="0"/>
    </format>
    <format dxfId="112">
      <pivotArea dataOnly="0" labelOnly="1" fieldPosition="0">
        <references count="1">
          <reference field="18" count="2">
            <x v="1"/>
            <x v="2"/>
          </reference>
        </references>
      </pivotArea>
    </format>
    <format dxfId="111">
      <pivotArea dataOnly="0" labelOnly="1" grandRow="1" outline="0" fieldPosition="0"/>
    </format>
    <format dxfId="110">
      <pivotArea dataOnly="0" labelOnly="1" fieldPosition="0">
        <references count="2">
          <reference field="3" count="6">
            <x v="7"/>
            <x v="8"/>
            <x v="9"/>
            <x v="10"/>
            <x v="11"/>
            <x v="12"/>
          </reference>
          <reference field="18" count="1" selected="0">
            <x v="1"/>
          </reference>
        </references>
      </pivotArea>
    </format>
    <format dxfId="109">
      <pivotArea dataOnly="0" labelOnly="1" fieldPosition="0">
        <references count="2">
          <reference field="3" count="2">
            <x v="1"/>
            <x v="2"/>
          </reference>
          <reference field="18" count="1" selected="0">
            <x v="2"/>
          </reference>
        </references>
      </pivotArea>
    </format>
    <format dxfId="108">
      <pivotArea dataOnly="0" labelOnly="1" outline="0" axis="axisValues" fieldPosition="0"/>
    </format>
    <format dxfId="107">
      <pivotArea grandRow="1" outline="0" collapsedLevelsAreSubtotals="1" fieldPosition="0"/>
    </format>
  </formats>
  <chartFormats count="8">
    <chartFormat chart="87" format="19" series="1">
      <pivotArea type="data" outline="0" fieldPosition="0">
        <references count="1">
          <reference field="4294967294" count="1" selected="0">
            <x v="0"/>
          </reference>
        </references>
      </pivotArea>
    </chartFormat>
    <chartFormat chart="87" format="20" series="1">
      <pivotArea type="data" outline="0" fieldPosition="0">
        <references count="2">
          <reference field="4294967294" count="1" selected="0">
            <x v="0"/>
          </reference>
          <reference field="3" count="1" selected="0">
            <x v="2"/>
          </reference>
        </references>
      </pivotArea>
    </chartFormat>
    <chartFormat chart="87" format="21" series="1">
      <pivotArea type="data" outline="0" fieldPosition="0">
        <references count="2">
          <reference field="4294967294" count="1" selected="0">
            <x v="0"/>
          </reference>
          <reference field="3" count="1" selected="0">
            <x v="7"/>
          </reference>
        </references>
      </pivotArea>
    </chartFormat>
    <chartFormat chart="87" format="22" series="1">
      <pivotArea type="data" outline="0" fieldPosition="0">
        <references count="2">
          <reference field="4294967294" count="1" selected="0">
            <x v="0"/>
          </reference>
          <reference field="3" count="1" selected="0">
            <x v="8"/>
          </reference>
        </references>
      </pivotArea>
    </chartFormat>
    <chartFormat chart="87" format="23" series="1">
      <pivotArea type="data" outline="0" fieldPosition="0">
        <references count="2">
          <reference field="4294967294" count="1" selected="0">
            <x v="0"/>
          </reference>
          <reference field="3" count="1" selected="0">
            <x v="9"/>
          </reference>
        </references>
      </pivotArea>
    </chartFormat>
    <chartFormat chart="87" format="24" series="1">
      <pivotArea type="data" outline="0" fieldPosition="0">
        <references count="2">
          <reference field="4294967294" count="1" selected="0">
            <x v="0"/>
          </reference>
          <reference field="3" count="1" selected="0">
            <x v="10"/>
          </reference>
        </references>
      </pivotArea>
    </chartFormat>
    <chartFormat chart="87" format="25" series="1">
      <pivotArea type="data" outline="0" fieldPosition="0">
        <references count="2">
          <reference field="4294967294" count="1" selected="0">
            <x v="0"/>
          </reference>
          <reference field="3" count="1" selected="0">
            <x v="11"/>
          </reference>
        </references>
      </pivotArea>
    </chartFormat>
    <chartFormat chart="87" format="26" series="1">
      <pivotArea type="data" outline="0" fieldPosition="0">
        <references count="2">
          <reference field="4294967294" count="1" selected="0">
            <x v="0"/>
          </reference>
          <reference field="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2D3E10-17C7-4C16-99EA-1863443308FB}" name="*Monthly Average SLP Farmed" cacheId="1"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6" rowHeaderCaption="">
  <location ref="E2:F12" firstHeaderRow="1" firstDataRow="1" firstDataCol="1"/>
  <pivotFields count="19">
    <pivotField numFmtId="164" showAll="0"/>
    <pivotField showAll="0"/>
    <pivotField showAll="0"/>
    <pivotField axis="axisRow" numFmtId="14" showAll="0" sortType="ascending">
      <items count="15">
        <item x="1"/>
        <item x="2"/>
        <item x="3"/>
        <item x="4"/>
        <item x="5"/>
        <item x="6"/>
        <item x="7"/>
        <item x="8"/>
        <item x="9"/>
        <item x="10"/>
        <item x="11"/>
        <item x="12"/>
        <item x="0"/>
        <item x="13"/>
        <item t="default"/>
      </items>
    </pivotField>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showAll="0">
      <items count="7">
        <item x="0"/>
        <item x="1"/>
        <item x="2"/>
        <item x="3"/>
        <item x="4"/>
        <item x="5"/>
        <item t="default"/>
      </items>
    </pivotField>
    <pivotField axis="axisRow" showAll="0">
      <items count="5">
        <item h="1" x="0"/>
        <item x="1"/>
        <item x="2"/>
        <item h="1" x="3"/>
        <item t="default"/>
      </items>
    </pivotField>
  </pivotFields>
  <rowFields count="2">
    <field x="18"/>
    <field x="3"/>
  </rowFields>
  <rowItems count="10">
    <i>
      <x v="1"/>
    </i>
    <i r="1">
      <x v="6"/>
    </i>
    <i r="1">
      <x v="7"/>
    </i>
    <i r="1">
      <x v="8"/>
    </i>
    <i r="1">
      <x v="9"/>
    </i>
    <i r="1">
      <x v="10"/>
    </i>
    <i r="1">
      <x v="11"/>
    </i>
    <i>
      <x v="2"/>
    </i>
    <i r="1">
      <x/>
    </i>
    <i r="1">
      <x v="1"/>
    </i>
  </rowItems>
  <colItems count="1">
    <i/>
  </colItems>
  <dataFields count="1">
    <dataField name="Monthly Average SLP Farmed" fld="4" subtotal="average" baseField="18" baseItem="1" numFmtId="167"/>
  </dataFields>
  <formats count="22">
    <format dxfId="163">
      <pivotArea grandRow="1" outline="0" collapsedLevelsAreSubtotals="1" fieldPosition="0"/>
    </format>
    <format dxfId="162">
      <pivotArea type="all" dataOnly="0" outline="0" fieldPosition="0"/>
    </format>
    <format dxfId="161">
      <pivotArea outline="0" collapsedLevelsAreSubtotals="1" fieldPosition="0"/>
    </format>
    <format dxfId="160">
      <pivotArea dataOnly="0" labelOnly="1" grandRow="1" outline="0" fieldPosition="0"/>
    </format>
    <format dxfId="159">
      <pivotArea dataOnly="0" labelOnly="1" outline="0" axis="axisValues" fieldPosition="0"/>
    </format>
    <format dxfId="158">
      <pivotArea type="all" dataOnly="0" outline="0" fieldPosition="0"/>
    </format>
    <format dxfId="157">
      <pivotArea outline="0" collapsedLevelsAreSubtotals="1" fieldPosition="0"/>
    </format>
    <format dxfId="156">
      <pivotArea dataOnly="0" labelOnly="1" grandRow="1" outline="0" fieldPosition="0"/>
    </format>
    <format dxfId="155">
      <pivotArea dataOnly="0" labelOnly="1" outline="0" axis="axisValues" fieldPosition="0"/>
    </format>
    <format dxfId="154">
      <pivotArea dataOnly="0" labelOnly="1" outline="0" axis="axisValues" fieldPosition="0"/>
    </format>
    <format dxfId="153">
      <pivotArea outline="0" collapsedLevelsAreSubtotals="1" fieldPosition="0"/>
    </format>
    <format dxfId="152">
      <pivotArea outline="0" collapsedLevelsAreSubtotals="1" fieldPosition="0"/>
    </format>
    <format dxfId="151">
      <pivotArea dataOnly="0" labelOnly="1" fieldPosition="0">
        <references count="1">
          <reference field="18" count="2">
            <x v="1"/>
            <x v="2"/>
          </reference>
        </references>
      </pivotArea>
    </format>
    <format dxfId="150">
      <pivotArea dataOnly="0" labelOnly="1" fieldPosition="0">
        <references count="2">
          <reference field="3" count="6">
            <x v="6"/>
            <x v="7"/>
            <x v="8"/>
            <x v="9"/>
            <x v="10"/>
            <x v="11"/>
          </reference>
          <reference field="18" count="1" selected="0">
            <x v="1"/>
          </reference>
        </references>
      </pivotArea>
    </format>
    <format dxfId="149">
      <pivotArea dataOnly="0" labelOnly="1" fieldPosition="0">
        <references count="2">
          <reference field="3" count="2">
            <x v="0"/>
            <x v="1"/>
          </reference>
          <reference field="18" count="1" selected="0">
            <x v="2"/>
          </reference>
        </references>
      </pivotArea>
    </format>
    <format dxfId="148">
      <pivotArea type="all" dataOnly="0" outline="0" fieldPosition="0"/>
    </format>
    <format dxfId="147">
      <pivotArea outline="0" collapsedLevelsAreSubtotals="1" fieldPosition="0"/>
    </format>
    <format dxfId="146">
      <pivotArea field="18" type="button" dataOnly="0" labelOnly="1" outline="0" axis="axisRow" fieldPosition="0"/>
    </format>
    <format dxfId="145">
      <pivotArea dataOnly="0" labelOnly="1" fieldPosition="0">
        <references count="1">
          <reference field="18" count="2">
            <x v="1"/>
            <x v="2"/>
          </reference>
        </references>
      </pivotArea>
    </format>
    <format dxfId="144">
      <pivotArea dataOnly="0" labelOnly="1" fieldPosition="0">
        <references count="2">
          <reference field="3" count="6">
            <x v="6"/>
            <x v="7"/>
            <x v="8"/>
            <x v="9"/>
            <x v="10"/>
            <x v="11"/>
          </reference>
          <reference field="18" count="1" selected="0">
            <x v="1"/>
          </reference>
        </references>
      </pivotArea>
    </format>
    <format dxfId="143">
      <pivotArea dataOnly="0" labelOnly="1" fieldPosition="0">
        <references count="2">
          <reference field="3" count="2">
            <x v="0"/>
            <x v="1"/>
          </reference>
          <reference field="18" count="1" selected="0">
            <x v="2"/>
          </reference>
        </references>
      </pivotArea>
    </format>
    <format dxfId="142">
      <pivotArea dataOnly="0" labelOnly="1" outline="0" axis="axisValues" fieldPosition="0"/>
    </format>
  </formats>
  <chartFormats count="1">
    <chartFormat chart="2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1FA0029-9996-4DF4-98FD-258754642C24}" sourceName="Quarters">
  <pivotTables>
    <pivotTable tabId="8" name="*Monthly Average SLP Farmed"/>
    <pivotTable tabId="8" name="*Monthly Average SLP Price"/>
    <pivotTable tabId="8" name="*Users SLP Per Month"/>
  </pivotTables>
  <data>
    <tabular pivotCacheId="508931967">
      <items count="6">
        <i x="1" s="1"/>
        <i x="3" s="1"/>
        <i x="4" s="1"/>
        <i x="0" s="1" nd="1"/>
        <i x="5" s="1" nd="1"/>
        <i x="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2578DECA-7A96-4910-989B-26F00C2215F7}" sourceName="Years">
  <pivotTables>
    <pivotTable tabId="8" name="*Monthly Average SLP Farmed"/>
    <pivotTable tabId="8" name="*Monthly Average SLP Price"/>
    <pivotTable tabId="8" name="*Users SLP Per Month"/>
  </pivotTables>
  <data>
    <tabular pivotCacheId="508931967">
      <items count="4">
        <i x="1" s="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6C3CDE08-AE90-44A8-9E2F-2C22E1008856}" cache="Slicer_Quarters" caption="Quarters" rowHeight="241300"/>
  <slicer name="Years" xr10:uid="{048B9641-ED39-4C59-8CEA-36D15180B6B5}"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8CB8D4B-7604-4CCC-8EB7-52B5A42113AA}" name="Table4" displayName="Table4" ref="A1:S51" totalsRowShown="0" headerRowDxfId="209" dataDxfId="207" headerRowBorderDxfId="208" tableBorderDxfId="206">
  <autoFilter ref="A1:S51" xr:uid="{D8CB8D4B-7604-4CCC-8EB7-52B5A42113AA}"/>
  <tableColumns count="19">
    <tableColumn id="1" xr3:uid="{C86847F1-EACA-4C37-BC05-4A558C8339DA}" name="user_number" dataDxfId="205"/>
    <tableColumn id="2" xr3:uid="{5F6E7628-A03E-455A-8BE7-D11B16DF0562}" name="in-game_name" dataDxfId="204"/>
    <tableColumn id="3" xr3:uid="{DCAA23A9-15A7-4187-84FE-FE6FC5BA35AD}" name="full_name" dataDxfId="203"/>
    <tableColumn id="4" xr3:uid="{8AB6E4E6-8162-401D-81E8-548C0359F27F}" name="gender" dataDxfId="202"/>
    <tableColumn id="5" xr3:uid="{F5AF2477-CAAC-4558-AEB0-54BFBB6BFD4A}" name="discord" dataDxfId="201"/>
    <tableColumn id="20" xr3:uid="{A3C84A4E-2101-4BFF-B9DC-3AB3E9DB12C2}" name="phone_number" dataDxfId="200">
      <calculatedColumnFormula>RANDBETWEEN(9000000000,9999999999)</calculatedColumnFormula>
    </tableColumn>
    <tableColumn id="6" xr3:uid="{686F6D20-6EB8-4070-BFAF-074B498CE54A}" name="axie_email" dataDxfId="199"/>
    <tableColumn id="7" xr3:uid="{02D00757-C748-4996-9CEB-751FF7924FEA}" name="axie_password" dataDxfId="198"/>
    <tableColumn id="8" xr3:uid="{A9684346-57A6-4D28-83EF-93D8D1EE64B5}" name="reffered_by" dataDxfId="197"/>
    <tableColumn id="9" xr3:uid="{4CF00C53-AFF3-4B5C-AD59-B2224F7C5AEE}" name="date_started" dataDxfId="196"/>
    <tableColumn id="10" xr3:uid="{444D5916-0875-4172-84F8-3106E0E84180}" name="date_last_payout" dataDxfId="195"/>
    <tableColumn id="11" xr3:uid="{0C13153A-665A-4C8E-8630-07653AED200C}" name="payout_days_interval" dataDxfId="194"/>
    <tableColumn id="12" xr3:uid="{C1D96494-D94F-489B-A6A7-C1D8FED85249}" name="manager" dataDxfId="193"/>
    <tableColumn id="13" xr3:uid="{276BCAB7-39A6-4001-A4FF-14F13CF2737B}" name="guild_name" dataDxfId="192"/>
    <tableColumn id="14" xr3:uid="{9B24A3F5-CBD8-4621-957B-666E4D0D71A1}" name="user_take" dataDxfId="191"/>
    <tableColumn id="15" xr3:uid="{66863004-92DC-4FEB-BF58-1C8C3487649D}" name="outsource_take" dataDxfId="190"/>
    <tableColumn id="16" xr3:uid="{3CE46DE8-DA1E-4A06-9D09-2A7B47829DEF}" name="manager_take" dataDxfId="189"/>
    <tableColumn id="17" xr3:uid="{4525CFD0-0316-4E10-ACF4-EA9C750E140F}" name="axie_ronin_id" dataDxfId="188"/>
    <tableColumn id="18" xr3:uid="{0088B95B-8D44-43D2-AAE0-A05C8C37D47C}" name="axies_link" dataDxfId="18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525A03-B10C-404A-BA73-05D617215F0C}" name="Table6" displayName="Table6" ref="A1:F51" totalsRowShown="0" dataDxfId="185" headerRowBorderDxfId="186" headerRowCellStyle="Heading 2">
  <autoFilter ref="A1:F51" xr:uid="{ED525A03-B10C-404A-BA73-05D617215F0C}"/>
  <tableColumns count="6">
    <tableColumn id="1" xr3:uid="{270FD31B-2D98-486E-939B-FDFC785CA7D9}" name="user_number" dataDxfId="184"/>
    <tableColumn id="2" xr3:uid="{73F130FC-734A-472C-8C35-1C340CACBDF0}" name="in-game_name" dataDxfId="183"/>
    <tableColumn id="3" xr3:uid="{8301C9B9-49F9-48D5-84E4-F00315169D0F}" name="method" dataDxfId="182"/>
    <tableColumn id="4" xr3:uid="{A0D74A76-DB31-4309-A723-C97896B059D9}" name="name" dataDxfId="181"/>
    <tableColumn id="5" xr3:uid="{CB500D8C-A712-4BDB-8993-21B1AB41FAC7}" name="account_number" dataDxfId="180"/>
    <tableColumn id="6" xr3:uid="{E09A487B-2729-4FC2-BDB4-268C2E3160C0}" name="phone_number" dataDxfId="17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4F81976-87AA-47C6-A424-8C23C2D9582D}" name="Table8" displayName="Table8" ref="A1:O302" totalsRowCount="1" dataDxfId="177" totalsRowDxfId="176" headerRowBorderDxfId="178" totalsRowBorderDxfId="175" headerRowCellStyle="Heading 2">
  <autoFilter ref="A1:O301" xr:uid="{64F81976-87AA-47C6-A424-8C23C2D9582D}"/>
  <tableColumns count="15">
    <tableColumn id="1" xr3:uid="{C230AE51-5E64-4C48-B470-39F977E0BC08}" name="transaction_number" dataDxfId="60" totalsRowDxfId="59">
      <calculatedColumnFormula>IF(Table8[[#This Row],[in-game_name]]&lt;&gt;"",ROW(A1),"")</calculatedColumnFormula>
    </tableColumn>
    <tableColumn id="3" xr3:uid="{992370A7-C156-4A86-ACA9-E4E9E2ABBCCC}" name="in-game_name" dataDxfId="58" totalsRowDxfId="57"/>
    <tableColumn id="4" xr3:uid="{C98EEA70-BFB9-4D3C-9F99-CEB2CB09711F}" name="user_number" dataDxfId="56" totalsRowDxfId="55"/>
    <tableColumn id="2" xr3:uid="{853E76DD-293E-48E6-B96B-0DD3A703E3E9}" name="date" dataDxfId="54" totalsRowDxfId="53"/>
    <tableColumn id="5" xr3:uid="{DBFB2C1E-C033-4DCA-8F3A-877FB163432A}" name="slp_farmed" totalsRowFunction="custom" dataDxfId="52" totalsRowDxfId="51">
      <totalsRowFormula>SUM(Table8[slp_farmed])</totalsRowFormula>
    </tableColumn>
    <tableColumn id="6" xr3:uid="{4E51235C-79B1-4D6D-9319-2BD6D5532C7A}" name="slp_price" dataDxfId="50" totalsRowDxfId="49"/>
    <tableColumn id="7" xr3:uid="{F4D1C312-AEDB-41C2-9171-B2B56DEB0726}" name="outsource_take" dataDxfId="48" totalsRowDxfId="47"/>
    <tableColumn id="8" xr3:uid="{C1DB772F-7E15-498D-BEBB-447B48C114DF}" name="user_take" dataDxfId="46" totalsRowDxfId="45"/>
    <tableColumn id="9" xr3:uid="{0D7166C0-8FAD-4DC4-A5CD-48DDCA2E4E55}" name="manager_take" dataDxfId="44" totalsRowDxfId="43"/>
    <tableColumn id="10" xr3:uid="{E656E139-D6B7-48FF-85A6-6179E6ADFF13}" name="outsource_slp" totalsRowFunction="custom" dataDxfId="42" totalsRowDxfId="41">
      <calculatedColumnFormula>E2*G2</calculatedColumnFormula>
      <totalsRowFormula>SUM(Table8[outsource_slp])</totalsRowFormula>
    </tableColumn>
    <tableColumn id="11" xr3:uid="{48FAA01D-149F-4501-B38E-5C01C5ADCA8E}" name="user_slp" totalsRowFunction="custom" dataDxfId="40" totalsRowDxfId="39">
      <calculatedColumnFormula>E2-L2-J2</calculatedColumnFormula>
      <totalsRowFormula>SUM(Table8[user_slp])</totalsRowFormula>
    </tableColumn>
    <tableColumn id="12" xr3:uid="{4E2FDA43-A06D-4356-8EB9-B19E4C7E36EC}" name="manager_slp" totalsRowFunction="custom" dataDxfId="38" totalsRowDxfId="37">
      <calculatedColumnFormula>E2*I2</calculatedColumnFormula>
      <totalsRowFormula>SUM(Table8[manager_slp])</totalsRowFormula>
    </tableColumn>
    <tableColumn id="13" xr3:uid="{0A7C3A84-ED70-4E31-B955-C656A3799B71}" name="outsource_php" totalsRowFunction="custom" dataDxfId="36" totalsRowDxfId="35">
      <calculatedColumnFormula>J2*F2</calculatedColumnFormula>
      <totalsRowFormula>SUM(Table8[outsource_php])</totalsRowFormula>
    </tableColumn>
    <tableColumn id="14" xr3:uid="{40643CE7-E8AB-4F90-A1ED-2EB0BBF4DD20}" name="user_php" totalsRowFunction="custom" dataDxfId="34" totalsRowDxfId="33">
      <calculatedColumnFormula>K2*F2</calculatedColumnFormula>
      <totalsRowFormula>SUM(Table8[user_php])</totalsRowFormula>
    </tableColumn>
    <tableColumn id="15" xr3:uid="{C6354306-0CDB-418D-B6E7-ACEA7BC38A46}" name="manager_php" totalsRowFunction="custom" dataDxfId="32" totalsRowDxfId="31">
      <calculatedColumnFormula>L2*F2</calculatedColumnFormula>
      <totalsRowFormula>SUM(Table8[manager_php])</totalsRow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7765D5-EE52-4261-A5B1-A08F2CA81F02}" name="Table7" displayName="Table7" ref="A1:I51" totalsRowShown="0" dataDxfId="173" headerRowBorderDxfId="174" headerRowCellStyle="Heading 2">
  <autoFilter ref="A1:I51" xr:uid="{C17765D5-EE52-4261-A5B1-A08F2CA81F02}"/>
  <tableColumns count="9">
    <tableColumn id="1" xr3:uid="{5865B433-4F2A-4D3A-B452-D2F530EB5DE5}" name="user_number" dataDxfId="172"/>
    <tableColumn id="2" xr3:uid="{BCCCEE21-A7AC-40DE-B043-B5024EA3B64D}" name="in-game_name" dataDxfId="171"/>
    <tableColumn id="10" xr3:uid="{62D228B1-69BD-4867-B88F-A47567EDDA1A}" name="lifetime_slp" dataDxfId="170" dataCellStyle="Comma">
      <calculatedColumnFormula>SUMIF(Table8[in-game_name],Table7[[#This Row],[in-game_name]],Table8[slp_farmed])</calculatedColumnFormula>
    </tableColumn>
    <tableColumn id="9" xr3:uid="{9EB46F9F-C374-4E6F-8815-43BF76A13D92}" name="slp_last_payout" dataDxfId="169">
      <calculatedColumnFormula array="1">_xlfn._xlws.FILTER(Table8[slp_farmed],(Table8[in-game_name]=Table7[[#This Row],[in-game_name]])*(Table8[date]=Table7[[#This Row],[last_payout]]))</calculatedColumnFormula>
    </tableColumn>
    <tableColumn id="7" xr3:uid="{64D0FA41-8F81-4E3A-BDEA-8C2F6611B93E}" name="last_payout" dataDxfId="168">
      <calculatedColumnFormula xml:space="preserve"> _xlfn.XLOOKUP(B2,Transactions!$B$2:$B$301,Transactions!$D$2:$D$301,"Not Found",,-1)</calculatedColumnFormula>
    </tableColumn>
    <tableColumn id="8" xr3:uid="{A7A8E6B8-C398-43FE-9A6B-86135D2A663A}" name="next_payout" dataDxfId="167">
      <calculatedColumnFormula>Table7[[#This Row],[last_payout]]+Table4[[#This Row],[payout_days_interval]]</calculatedColumnFormula>
    </tableColumn>
    <tableColumn id="14" xr3:uid="{181B8E2C-AC15-433B-A01E-D7C51DFECF43}" name="career_duration" dataDxfId="166">
      <calculatedColumnFormula array="1">SUM(_xlfn.XLOOKUP(Table7[[#This Row],[in-game_name]],Table8[[#Data],[#Totals],[in-game_name]],Table8[[#Data],[#Totals],[date]],,,-1),-_xlfn.XLOOKUP(Table7[[#This Row],[in-game_name]],Table8[[#Data],[#Totals],[in-game_name]],Table8[[#Data],[#Totals],[date]],,,1))</calculatedColumnFormula>
    </tableColumn>
    <tableColumn id="3" xr3:uid="{59A75341-5E87-4F71-A7C3-CDD0582945D2}" name="lifetime_monthly_slp_average" dataDxfId="165" dataCellStyle="Comma">
      <calculatedColumnFormula>IFERROR(Table7[[#This Row],[lifetime_slp]]/(Table7[[#This Row],[career_duration]]/30.5),Table7[[#This Row],[lifetime_slp]]*1)</calculatedColumnFormula>
    </tableColumn>
    <tableColumn id="4" xr3:uid="{F1078EA4-5F62-4357-B441-5269EF25B0B6}" name="lifetime_daily_slp_average" dataDxfId="164" dataCellStyle="Comma">
      <calculatedColumnFormula>IFERROR(Table7[[#This Row],[lifetime_slp]]/Table7[[#This Row],[career_duration]],Table7[[#This Row],[lifetime_slp]]*1/14)</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hyperlink" Target="https://marketplace.axieinfinity.com/profile/ronin:339d7c28687c83eec9c525e02d53b8b0ba81a570/axie" TargetMode="External"/><Relationship Id="rId13" Type="http://schemas.openxmlformats.org/officeDocument/2006/relationships/hyperlink" Target="https://marketplace.axieinfinity.com/profile/ronin:d41b755cce842242a662107992e7a16ab65dc7bb" TargetMode="External"/><Relationship Id="rId18" Type="http://schemas.openxmlformats.org/officeDocument/2006/relationships/hyperlink" Target="https://marketplace.axieinfinity.com/profile/ronin:c36487c999ca6c85218c918b42e9158121763641/axie" TargetMode="External"/><Relationship Id="rId26" Type="http://schemas.openxmlformats.org/officeDocument/2006/relationships/hyperlink" Target="https://marketplace.axieinfinity.com/profile/ronin:a4be7c7625eedfe90190d2947f3412133c05e115" TargetMode="External"/><Relationship Id="rId3" Type="http://schemas.openxmlformats.org/officeDocument/2006/relationships/hyperlink" Target="https://marketplace.axieinfinity.com/profile/ronin:5bae63b9fd7f46ae3916c2e0ed9e907403286fb3/axie/" TargetMode="External"/><Relationship Id="rId21" Type="http://schemas.openxmlformats.org/officeDocument/2006/relationships/hyperlink" Target="https://marketplace.axieinfinity.com/profile/ronin:fa63f311b9c5eb0e92357449396ee32700130c11" TargetMode="External"/><Relationship Id="rId7" Type="http://schemas.openxmlformats.org/officeDocument/2006/relationships/hyperlink" Target="https://marketplace.axieinfinity.com/profile/ronin:aea4803022849eb2a8a864eb8671a401ed40781d/axie" TargetMode="External"/><Relationship Id="rId12" Type="http://schemas.openxmlformats.org/officeDocument/2006/relationships/hyperlink" Target="https://marketplace.axieinfinity.com/profile/ronin:ab4305c3a861f259afc46c719842e3e5370abaf1/axie" TargetMode="External"/><Relationship Id="rId17" Type="http://schemas.openxmlformats.org/officeDocument/2006/relationships/hyperlink" Target="https://marketplace.axieinfinity.com/profile/ronin:8f0a333ab222d9d2d290974ab910ec6ca18c889b" TargetMode="External"/><Relationship Id="rId25" Type="http://schemas.openxmlformats.org/officeDocument/2006/relationships/hyperlink" Target="https://marketplace.axieinfinity.com/profile/ronin:4f3b992f95216caed0c36ef5e5c236793e7968f8" TargetMode="External"/><Relationship Id="rId33" Type="http://schemas.openxmlformats.org/officeDocument/2006/relationships/comments" Target="../comments2.xml"/><Relationship Id="rId2" Type="http://schemas.openxmlformats.org/officeDocument/2006/relationships/hyperlink" Target="https://marketplace.axieinfinity.com/profile/ronin:fd2a42ecce80a5b48cd11a2ef606a1de13931406/axie/" TargetMode="External"/><Relationship Id="rId16" Type="http://schemas.openxmlformats.org/officeDocument/2006/relationships/hyperlink" Target="https://marketplace.axieinfinity.com/profile/ronin:be236d46659a2223ee54b9be9d8df337240d52d8" TargetMode="External"/><Relationship Id="rId20" Type="http://schemas.openxmlformats.org/officeDocument/2006/relationships/hyperlink" Target="https://marketplace.axieinfinity.com/profile/ronin:aea4803022849eb2a8a864eb8671a401ed40781d" TargetMode="External"/><Relationship Id="rId29" Type="http://schemas.openxmlformats.org/officeDocument/2006/relationships/hyperlink" Target="https://marketplace.axieinfinity.com/profile/ronin:fa63f311b9c5eb0e92357449396ee32700130c11" TargetMode="External"/><Relationship Id="rId1" Type="http://schemas.openxmlformats.org/officeDocument/2006/relationships/hyperlink" Target="https://marketplace.axieinfinity.com/profile/ronin:dad19b1c7afda06495dabdae8bc76aafd46d190a/axie/" TargetMode="External"/><Relationship Id="rId6" Type="http://schemas.openxmlformats.org/officeDocument/2006/relationships/hyperlink" Target="https://marketplace.axieinfinity.com/profile/ronin:c0de1e98d0ee1b6b755529d0b8ac3c22c291cc82/axie" TargetMode="External"/><Relationship Id="rId11" Type="http://schemas.openxmlformats.org/officeDocument/2006/relationships/hyperlink" Target="https://marketplace.axieinfinity.com/profile/ronin:732e276223f193ab3cf187006c9db41be55c1a5c/axie" TargetMode="External"/><Relationship Id="rId24" Type="http://schemas.openxmlformats.org/officeDocument/2006/relationships/hyperlink" Target="https://marketplace.axieinfinity.com/profile/ronin:88c11614b95655a799d9907838913c3af27efe81" TargetMode="External"/><Relationship Id="rId32" Type="http://schemas.openxmlformats.org/officeDocument/2006/relationships/table" Target="../tables/table1.xml"/><Relationship Id="rId5" Type="http://schemas.openxmlformats.org/officeDocument/2006/relationships/hyperlink" Target="https://marketplace.axieinfinity.com/profile/ronin:19b2887c229116e3bc0f8759b03bfcf737213e74/axie" TargetMode="External"/><Relationship Id="rId15" Type="http://schemas.openxmlformats.org/officeDocument/2006/relationships/hyperlink" Target="https://marketplace.axieinfinity.com/profile/ronin:86794347fa04b61bf3d8968b6528f7317950258" TargetMode="External"/><Relationship Id="rId23" Type="http://schemas.openxmlformats.org/officeDocument/2006/relationships/hyperlink" Target="https://marketplace.axieinfinity.com/profile/ronin:5ae8e73df287b0dfccc1e9f6bc2b5f8e507bcba7" TargetMode="External"/><Relationship Id="rId28" Type="http://schemas.openxmlformats.org/officeDocument/2006/relationships/hyperlink" Target="https://marketplace.axieinfinity.com/profile/ronin:525d13d8d322eb7e7ed6fcc69b8317621aedd821/" TargetMode="External"/><Relationship Id="rId10" Type="http://schemas.openxmlformats.org/officeDocument/2006/relationships/hyperlink" Target="https://marketplace.axieinfinity.com/profile/ronin:8a20c325efff66ef37f782c1bb0fd24206ed89ac/axie" TargetMode="External"/><Relationship Id="rId19" Type="http://schemas.openxmlformats.org/officeDocument/2006/relationships/hyperlink" Target="https://marketplace.axieinfinity.com/profile/ronin:27b14826c87203f2a0ba53e48711dc3c3acda48a" TargetMode="External"/><Relationship Id="rId31" Type="http://schemas.openxmlformats.org/officeDocument/2006/relationships/vmlDrawing" Target="../drawings/vmlDrawing2.vml"/><Relationship Id="rId4" Type="http://schemas.openxmlformats.org/officeDocument/2006/relationships/hyperlink" Target="https://marketplace.axieinfinity.com/profile/ronin:c36487c999ca6c85218c918b42e9158121763641/axie" TargetMode="External"/><Relationship Id="rId9" Type="http://schemas.openxmlformats.org/officeDocument/2006/relationships/hyperlink" Target="https://marketplace.axieinfinity.com/profile/ronin:be236d46659a2223ee54b9be9d8df337240d52d8/axie" TargetMode="External"/><Relationship Id="rId14" Type="http://schemas.openxmlformats.org/officeDocument/2006/relationships/hyperlink" Target="https://marketplace.axieinfinity.com/profile/ronin:1923a53d4959b7869f8ce50b4afbda4c0af4a06f" TargetMode="External"/><Relationship Id="rId22" Type="http://schemas.openxmlformats.org/officeDocument/2006/relationships/hyperlink" Target="https://marketplace.axieinfinity.com/profile/ronin:24c4bd8bb905a5ac6da1a707012e297ffa3c6fc3" TargetMode="External"/><Relationship Id="rId27" Type="http://schemas.openxmlformats.org/officeDocument/2006/relationships/hyperlink" Target="https://marketplace.axieinfinity.com/profile/ronin:f52b0d526088567f0be8f8c84e81f7caef9c199c" TargetMode="External"/><Relationship Id="rId30"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6.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AC40-71A9-4F11-A526-A8E88627764A}">
  <sheetPr codeName="Sheet1"/>
  <dimension ref="A1:Z115"/>
  <sheetViews>
    <sheetView showGridLines="0" zoomScaleNormal="100" workbookViewId="0">
      <selection activeCell="J16" sqref="J16"/>
    </sheetView>
  </sheetViews>
  <sheetFormatPr defaultRowHeight="14.25" x14ac:dyDescent="0.25"/>
  <cols>
    <col min="1" max="1" width="1.140625" style="1" customWidth="1"/>
    <col min="2" max="2" width="2.85546875" style="1" customWidth="1"/>
    <col min="3" max="12" width="16" style="1" customWidth="1"/>
    <col min="13" max="13" width="5.42578125" style="1" customWidth="1"/>
    <col min="14" max="15" width="10" style="1" customWidth="1"/>
    <col min="16" max="16" width="14.5703125" style="1" customWidth="1"/>
    <col min="17" max="19" width="10" style="1" customWidth="1"/>
    <col min="20" max="20" width="8.42578125" style="1" customWidth="1"/>
    <col min="21" max="21" width="1.7109375" style="1" customWidth="1"/>
    <col min="22" max="22" width="8.42578125" style="1" customWidth="1"/>
    <col min="23" max="23" width="1.7109375" style="1" customWidth="1"/>
    <col min="24" max="24" width="8.42578125" style="1" customWidth="1"/>
    <col min="25" max="25" width="1.7109375" style="1" customWidth="1"/>
    <col min="26" max="26" width="10.140625" style="1" customWidth="1"/>
    <col min="27" max="16384" width="9.140625" style="1"/>
  </cols>
  <sheetData>
    <row r="1" spans="3:25" ht="18.75" x14ac:dyDescent="0.25">
      <c r="C1" s="212" t="s">
        <v>0</v>
      </c>
      <c r="K1" s="20" t="s">
        <v>1</v>
      </c>
      <c r="L1" s="167">
        <v>44601</v>
      </c>
      <c r="T1" s="248" t="s">
        <v>2</v>
      </c>
      <c r="U1" s="248"/>
      <c r="V1" s="248"/>
      <c r="W1" s="248"/>
      <c r="X1" s="248"/>
      <c r="Y1" s="248"/>
    </row>
    <row r="2" spans="3:25" ht="16.5" x14ac:dyDescent="0.25">
      <c r="C2" s="250" t="s">
        <v>3</v>
      </c>
      <c r="D2" s="251"/>
      <c r="E2" s="251"/>
      <c r="F2" s="251"/>
      <c r="G2" s="251"/>
      <c r="H2" s="251"/>
      <c r="I2" s="251"/>
      <c r="J2" s="251"/>
      <c r="K2" s="251"/>
      <c r="L2" s="252"/>
      <c r="N2" s="254" t="s">
        <v>4</v>
      </c>
      <c r="O2" s="255"/>
      <c r="P2" s="256"/>
      <c r="T2" s="79" t="s">
        <v>5</v>
      </c>
      <c r="U2" s="79">
        <f>_xlfn.XLOOKUP('Admin Interface'!T2,Table7[in-game_name],Table7[slp_last_payout])</f>
        <v>4705</v>
      </c>
      <c r="V2" s="79" t="s">
        <v>6</v>
      </c>
      <c r="W2" s="79">
        <f>_xlfn.XLOOKUP('Admin Interface'!V2,Table7[in-game_name],Table7[slp_last_payout])</f>
        <v>1219</v>
      </c>
      <c r="X2" s="79" t="s">
        <v>7</v>
      </c>
      <c r="Y2" s="79">
        <f>_xlfn.XLOOKUP('Admin Interface'!X2,Table7[in-game_name],Table7[slp_last_payout])</f>
        <v>1584</v>
      </c>
    </row>
    <row r="3" spans="3:25" x14ac:dyDescent="0.25">
      <c r="C3" s="22" t="s">
        <v>8</v>
      </c>
      <c r="D3" s="86" t="s">
        <v>5</v>
      </c>
      <c r="E3" s="23" t="s">
        <v>9</v>
      </c>
      <c r="F3" s="1" t="str">
        <f>_xlfn.XLOOKUP(D3,'User Details'!B2:B51,'User Details'!C2:C51,"Not Found")</f>
        <v>Dan Cooper</v>
      </c>
      <c r="H3" s="23" t="s">
        <v>10</v>
      </c>
      <c r="I3" s="75" t="str">
        <f>_xlfn.XLOOKUP(D3,'Payout Details'!B2:B50,'Payout Details'!C2:C50,"Not Found")</f>
        <v>Ronin</v>
      </c>
      <c r="L3" s="24"/>
      <c r="N3" s="214" t="str" cm="1">
        <f t="array" ref="N3:N22">INDEX('Pivot Tables'!B15:C34,,1)</f>
        <v>Captn</v>
      </c>
      <c r="O3" s="217" cm="1">
        <f t="array" ref="O3:O22">INDEX('Pivot Tables'!B15:C34,,2)</f>
        <v>44608</v>
      </c>
      <c r="P3" s="218" t="str" cm="1">
        <f t="array" ref="P3">_xlfn.IFS($L$1-O3&gt;0,_xlfn.CONCAT($L$1-O3," Days Overdue"),$L$1-O3&lt;0,_xlfn.CONCAT(($L$1-O3)*-1," Days Away"),$L$1-O3=$L$1-O3,"Claimable Today")</f>
        <v>7 Days Away</v>
      </c>
      <c r="T3" s="79" t="s">
        <v>11</v>
      </c>
      <c r="U3" s="79">
        <f>_xlfn.XLOOKUP('Admin Interface'!T3,Table7[in-game_name],Table7[slp_last_payout])</f>
        <v>3605</v>
      </c>
      <c r="V3" s="79" t="s">
        <v>12</v>
      </c>
      <c r="W3" s="79">
        <f>_xlfn.XLOOKUP('Admin Interface'!V3,Table7[in-game_name],Table7[slp_last_payout])</f>
        <v>1278</v>
      </c>
      <c r="X3" s="79" t="s">
        <v>13</v>
      </c>
      <c r="Y3" s="79">
        <f>_xlfn.XLOOKUP('Admin Interface'!X3,Table7[in-game_name],Table7[slp_last_payout])</f>
        <v>750</v>
      </c>
    </row>
    <row r="4" spans="3:25" x14ac:dyDescent="0.25">
      <c r="C4" s="22" t="s">
        <v>14</v>
      </c>
      <c r="D4" s="73">
        <f>_xlfn.XLOOKUP(D3,'User Details'!B2:B51,'User Details'!A2:A51,"Not Found")</f>
        <v>1</v>
      </c>
      <c r="E4" s="23" t="s">
        <v>15</v>
      </c>
      <c r="F4" s="1" t="str">
        <f>PROPER(VLOOKUP(D3,'User Details'!B2:J51,3,))</f>
        <v>Male</v>
      </c>
      <c r="H4" s="23" t="s">
        <v>16</v>
      </c>
      <c r="I4" s="1" t="str">
        <f>_xlfn.XLOOKUP(D3,'Payout Details'!B2:B51,'Payout Details'!D2:D51,"Not Found")</f>
        <v>Dan Cooper</v>
      </c>
      <c r="L4" s="24"/>
      <c r="N4" s="215" t="str">
        <v>Dond</v>
      </c>
      <c r="O4" s="219">
        <v>44607</v>
      </c>
      <c r="P4" s="220" t="str" cm="1">
        <f t="array" ref="P4">_xlfn.IFS($L$1-O4&gt;0,_xlfn.CONCAT($L$1-O4," Days Overdue"),$L$1-O4&lt;0,_xlfn.CONCAT(($L$1-O4)*-1," Days Away"),$L$1-O4=$L$1-O4,"Claimable Today")</f>
        <v>6 Days Away</v>
      </c>
      <c r="T4" s="79" t="s">
        <v>17</v>
      </c>
      <c r="U4" s="79">
        <f>_xlfn.XLOOKUP('Admin Interface'!T4,Table7[in-game_name],Table7[slp_last_payout])</f>
        <v>3414</v>
      </c>
      <c r="V4" s="79" t="s">
        <v>18</v>
      </c>
      <c r="W4" s="79">
        <f>_xlfn.XLOOKUP('Admin Interface'!V4,Table7[in-game_name],Table7[slp_last_payout])</f>
        <v>2219</v>
      </c>
      <c r="X4" s="79" t="s">
        <v>19</v>
      </c>
      <c r="Y4" s="79">
        <f>_xlfn.XLOOKUP('Admin Interface'!X4,Table7[in-game_name],Table7[slp_last_payout])</f>
        <v>2076</v>
      </c>
    </row>
    <row r="5" spans="3:25" x14ac:dyDescent="0.25">
      <c r="C5" s="22" t="s">
        <v>20</v>
      </c>
      <c r="D5" s="1" t="str">
        <f ca="1">_xlfn.XLOOKUP(D3,'User Details'!B2:B51,'User Details'!E2:E51,"Not Found")</f>
        <v>Raze#3955</v>
      </c>
      <c r="E5" s="23" t="s">
        <v>21</v>
      </c>
      <c r="F5" s="1" t="str">
        <f ca="1">_xlfn.CONCAT("+63 ",TEXT(_xlfn.XLOOKUP(D3,Table4[in-game_name],Table4[phone_number],"Not Found"),"###-####-####"))</f>
        <v>+63 93-5973-7299</v>
      </c>
      <c r="H5" s="23" t="s">
        <v>22</v>
      </c>
      <c r="I5" s="76" t="str">
        <f>IF(LEN(_xlfn.CONCAT("+63  ",TEXT(_xlfn.XLOOKUP(D3,'Payout Details'!B2:B51,'Payout Details'!E2:E51,"Not Found"),"###-####-####")))=17,_xlfn.CONCAT("+63  ",TEXT(_xlfn.XLOOKUP(D3,'Payout Details'!B2:B51,'Payout Details'!E2:E51,"Not Found"),"###-####-####")),_xlfn.XLOOKUP(D3,'Payout Details'!B2:B51,'Payout Details'!E2:E51,"Not Found"))</f>
        <v>ronin:dad19b1c7afda06495dabdae8bc76aafd46d190a</v>
      </c>
      <c r="L5" s="24"/>
      <c r="N5" s="215" t="str">
        <v>Anons</v>
      </c>
      <c r="O5" s="219">
        <v>44606</v>
      </c>
      <c r="P5" s="220" t="str" cm="1">
        <f t="array" ref="P5">_xlfn.IFS($L$1-O5&gt;0,_xlfn.CONCAT($L$1-O5," Days Overdue"),$L$1-O5&lt;0,_xlfn.CONCAT(($L$1-O5)*-1," Days Away"),$L$1-O5=$L$1-O5,"Claimable Today")</f>
        <v>5 Days Away</v>
      </c>
      <c r="T5" s="79" t="s">
        <v>23</v>
      </c>
      <c r="U5" s="79">
        <f>_xlfn.XLOOKUP('Admin Interface'!T5,Table7[in-game_name],Table7[slp_last_payout])</f>
        <v>1195</v>
      </c>
      <c r="V5" s="79" t="s">
        <v>24</v>
      </c>
      <c r="W5" s="79">
        <f>_xlfn.XLOOKUP('Admin Interface'!V5,Table7[in-game_name],Table7[slp_last_payout])</f>
        <v>835</v>
      </c>
      <c r="X5" s="79" t="s">
        <v>25</v>
      </c>
      <c r="Y5" s="79">
        <f>_xlfn.XLOOKUP('Admin Interface'!X5,Table7[in-game_name],Table7[slp_last_payout])</f>
        <v>1761</v>
      </c>
    </row>
    <row r="6" spans="3:25" x14ac:dyDescent="0.25">
      <c r="C6" s="27" t="s">
        <v>26</v>
      </c>
      <c r="D6" s="74">
        <f>VLOOKUP(D3,'User Details'!B2:J51,9,)</f>
        <v>44370</v>
      </c>
      <c r="E6" s="28" t="str">
        <f>IF(OR(F6="Founder",F6="Co-Founder"),"Libang Guild Staff:","Referred by")</f>
        <v>Libang Guild Staff:</v>
      </c>
      <c r="F6" s="85" t="str">
        <f>_xlfn.XLOOKUP(D3,'User Details'!B2:B51,'User Details'!I2:I51,"Not Found")</f>
        <v>Founder</v>
      </c>
      <c r="G6" s="16"/>
      <c r="H6" s="28" t="s">
        <v>21</v>
      </c>
      <c r="I6" s="16" t="str">
        <f ca="1">_xlfn.CONCAT("+63  ",TEXT(_xlfn.XLOOKUP(D3,'Payout Details'!B2:B51,'Payout Details'!F2:F51,"Not Found"),"###-####-####"))</f>
        <v>+63  92-1739-5140</v>
      </c>
      <c r="J6" s="16"/>
      <c r="K6" s="16"/>
      <c r="L6" s="29"/>
      <c r="N6" s="215" t="str">
        <v>Lillo</v>
      </c>
      <c r="O6" s="219">
        <v>44605</v>
      </c>
      <c r="P6" s="220" t="str" cm="1">
        <f t="array" ref="P6">_xlfn.IFS($L$1-O6&gt;0,_xlfn.CONCAT($L$1-O6," Days Overdue"),$L$1-O6&lt;0,_xlfn.CONCAT(($L$1-O6)*-1," Days Away"),$L$1-O6=$L$1-O6,"Claimable Today")</f>
        <v>4 Days Away</v>
      </c>
      <c r="T6" s="79" t="s">
        <v>27</v>
      </c>
      <c r="U6" s="79">
        <f>_xlfn.XLOOKUP('Admin Interface'!T6,Table7[in-game_name],Table7[slp_last_payout])</f>
        <v>384</v>
      </c>
      <c r="V6" s="79" t="s">
        <v>28</v>
      </c>
      <c r="W6" s="79">
        <f>_xlfn.XLOOKUP('Admin Interface'!V6,Table7[in-game_name],Table7[slp_last_payout])</f>
        <v>1893</v>
      </c>
      <c r="X6" s="79" t="s">
        <v>29</v>
      </c>
      <c r="Y6" s="79">
        <f>_xlfn.XLOOKUP('Admin Interface'!X6,Table7[in-game_name],Table7[slp_last_payout])</f>
        <v>1943</v>
      </c>
    </row>
    <row r="7" spans="3:25" ht="16.5" x14ac:dyDescent="0.25">
      <c r="C7" s="250" t="s">
        <v>30</v>
      </c>
      <c r="D7" s="251"/>
      <c r="E7" s="251"/>
      <c r="F7" s="251"/>
      <c r="G7" s="251"/>
      <c r="H7" s="251"/>
      <c r="I7" s="251"/>
      <c r="J7" s="251"/>
      <c r="K7" s="251"/>
      <c r="L7" s="253"/>
      <c r="N7" s="215" t="str">
        <v>Suru</v>
      </c>
      <c r="O7" s="219">
        <v>44605</v>
      </c>
      <c r="P7" s="220" t="str" cm="1">
        <f t="array" ref="P7">_xlfn.IFS($L$1-O7&gt;0,_xlfn.CONCAT($L$1-O7," Days Overdue"),$L$1-O7&lt;0,_xlfn.CONCAT(($L$1-O7)*-1," Days Away"),$L$1-O7=$L$1-O7,"Claimable Today")</f>
        <v>4 Days Away</v>
      </c>
      <c r="T7" s="79" t="s">
        <v>31</v>
      </c>
      <c r="U7" s="79">
        <f>_xlfn.XLOOKUP('Admin Interface'!T7,Table7[in-game_name],Table7[slp_last_payout])</f>
        <v>601</v>
      </c>
      <c r="V7" s="79" t="s">
        <v>32</v>
      </c>
      <c r="W7" s="79">
        <f>_xlfn.XLOOKUP('Admin Interface'!V7,Table7[in-game_name],Table7[slp_last_payout])</f>
        <v>141</v>
      </c>
      <c r="X7" s="79" t="s">
        <v>33</v>
      </c>
      <c r="Y7" s="79">
        <f>_xlfn.XLOOKUP('Admin Interface'!X7,Table7[in-game_name],Table7[slp_last_payout])</f>
        <v>1674</v>
      </c>
    </row>
    <row r="8" spans="3:25" x14ac:dyDescent="0.25">
      <c r="C8" s="22" t="s">
        <v>34</v>
      </c>
      <c r="D8" s="1" t="str">
        <f ca="1">_xlfn.XLOOKUP(D3,'User Details'!B2:B51,'User Details'!M2:M51,"Not Found")</f>
        <v>Raze#3955</v>
      </c>
      <c r="F8" s="23" t="s">
        <v>35</v>
      </c>
      <c r="G8" s="1" t="str">
        <f>_xlfn.XLOOKUP(D3,'User Details'!B2:B51,'User Details'!G2:G51,"Not Found")</f>
        <v>raze.libangguild@gmail.com</v>
      </c>
      <c r="L8" s="24"/>
      <c r="N8" s="215" t="str">
        <v>Carl</v>
      </c>
      <c r="O8" s="219">
        <v>44605</v>
      </c>
      <c r="P8" s="220" t="str" cm="1">
        <f t="array" ref="P8">_xlfn.IFS($L$1-O8&gt;0,_xlfn.CONCAT($L$1-O8," Days Overdue"),$L$1-O8&lt;0,_xlfn.CONCAT(($L$1-O8)*-1," Days Away"),$L$1-O8=$L$1-O8,"Claimable Today")</f>
        <v>4 Days Away</v>
      </c>
      <c r="T8" s="79" t="s">
        <v>36</v>
      </c>
      <c r="U8" s="79">
        <f>_xlfn.XLOOKUP('Admin Interface'!T8,Table7[in-game_name],Table7[slp_last_payout])</f>
        <v>2192</v>
      </c>
      <c r="V8" s="79" t="s">
        <v>37</v>
      </c>
      <c r="W8" s="79">
        <f>_xlfn.XLOOKUP('Admin Interface'!V8,Table7[in-game_name],Table7[slp_last_payout])</f>
        <v>1505</v>
      </c>
      <c r="X8" s="79" t="s">
        <v>38</v>
      </c>
      <c r="Y8" s="79">
        <f>_xlfn.XLOOKUP('Admin Interface'!X8,Table7[in-game_name],Table7[slp_last_payout])</f>
        <v>1974</v>
      </c>
    </row>
    <row r="9" spans="3:25" x14ac:dyDescent="0.25">
      <c r="C9" s="22" t="s">
        <v>39</v>
      </c>
      <c r="D9" s="1" t="str">
        <f>_xlfn.XLOOKUP(D3,'User Details'!B2:B51,'User Details'!N2:N51,"Not Found")</f>
        <v>LibangGuild</v>
      </c>
      <c r="F9" s="23" t="s">
        <v>40</v>
      </c>
      <c r="G9" s="1" t="str">
        <f ca="1">_xlfn.XLOOKUP(D3,'User Details'!B2:B51,'User Details'!H2:H51,"Not Found")</f>
        <v>M9mkY8J5</v>
      </c>
      <c r="L9" s="24"/>
      <c r="N9" s="215" t="str">
        <v>Kian</v>
      </c>
      <c r="O9" s="219">
        <v>44605</v>
      </c>
      <c r="P9" s="220" t="str" cm="1">
        <f t="array" ref="P9">_xlfn.IFS($L$1-O9&gt;0,_xlfn.CONCAT($L$1-O9," Days Overdue"),$L$1-O9&lt;0,_xlfn.CONCAT(($L$1-O9)*-1," Days Away"),$L$1-O9=$L$1-O9,"Claimable Today")</f>
        <v>4 Days Away</v>
      </c>
      <c r="T9" s="79" t="s">
        <v>41</v>
      </c>
      <c r="U9" s="79">
        <f>_xlfn.XLOOKUP('Admin Interface'!T9,Table7[in-game_name],Table7[slp_last_payout])</f>
        <v>2150</v>
      </c>
      <c r="V9" s="79" t="s">
        <v>42</v>
      </c>
      <c r="W9" s="79">
        <f>_xlfn.XLOOKUP('Admin Interface'!V9,Table7[in-game_name],Table7[slp_last_payout])</f>
        <v>1489</v>
      </c>
      <c r="X9" s="79" t="s">
        <v>43</v>
      </c>
      <c r="Y9" s="79">
        <f>_xlfn.XLOOKUP('Admin Interface'!X9,Table7[in-game_name],Table7[slp_last_payout])</f>
        <v>1986</v>
      </c>
    </row>
    <row r="10" spans="3:25" x14ac:dyDescent="0.25">
      <c r="C10" s="22" t="s">
        <v>44</v>
      </c>
      <c r="D10" s="1" t="str">
        <f>_xlfn.CONCAT(_xlfn.XLOOKUP(D3,'User Details'!B2:B51,'User Details'!O2:O51,"Not Found"),"-",_xlfn.XLOOKUP(D3,'User Details'!B2:B51,'User Details'!P2:P51,"Not Found"),"-",_xlfn.XLOOKUP(D3,'User Details'!B2:B51,'User Details'!Q2:Q51,"Not Found"))</f>
        <v>1-0-0</v>
      </c>
      <c r="F10" s="23" t="s">
        <v>45</v>
      </c>
      <c r="G10" s="1" t="str">
        <f>_xlfn.XLOOKUP(D3,'User Details'!B2:B51,'User Details'!R2:R51,"Not Found")</f>
        <v>ronin:dad19b1c7afda06495dabdae8bc76aafd46d190a</v>
      </c>
      <c r="L10" s="24"/>
      <c r="N10" s="215" t="str">
        <v>Dott</v>
      </c>
      <c r="O10" s="221">
        <v>44596</v>
      </c>
      <c r="P10" s="220" t="str" cm="1">
        <f t="array" ref="P10">_xlfn.IFS($L$1-O10&gt;0,_xlfn.CONCAT($L$1-O10," Days Overdue"),$L$1-O10&lt;0,_xlfn.CONCAT(($L$1-O10)*-1," Days Away"),$L$1-O10=$L$1-O10,"Claimable Today")</f>
        <v>5 Days Overdue</v>
      </c>
      <c r="T10" s="79" t="s">
        <v>46</v>
      </c>
      <c r="U10" s="79">
        <f>_xlfn.XLOOKUP('Admin Interface'!T10,Table7[in-game_name],Table7[slp_last_payout])</f>
        <v>765</v>
      </c>
      <c r="V10" s="79" t="s">
        <v>47</v>
      </c>
      <c r="W10" s="79">
        <f>_xlfn.XLOOKUP('Admin Interface'!V10,Table7[in-game_name],Table7[slp_last_payout])</f>
        <v>1526</v>
      </c>
      <c r="X10" s="79" t="s">
        <v>48</v>
      </c>
      <c r="Y10" s="79">
        <f>_xlfn.XLOOKUP('Admin Interface'!X10,Table7[in-game_name],Table7[slp_last_payout])</f>
        <v>914</v>
      </c>
    </row>
    <row r="11" spans="3:25" x14ac:dyDescent="0.25">
      <c r="C11" s="30"/>
      <c r="D11" s="91" t="s">
        <v>49</v>
      </c>
      <c r="E11" s="16"/>
      <c r="F11" s="28" t="s">
        <v>50</v>
      </c>
      <c r="G11" s="16" t="str">
        <f>_xlfn.XLOOKUP(D3,'User Details'!B2:B51,'User Details'!S2:S51,"Not Found")</f>
        <v>https://marketplace.axieinfinity.com/profile/ronin:dad19b1c7afda06495dabdae8bc76aafd46d190a/axie/</v>
      </c>
      <c r="H11" s="16"/>
      <c r="I11" s="16"/>
      <c r="J11" s="16"/>
      <c r="K11" s="16"/>
      <c r="L11" s="29"/>
      <c r="N11" s="215" t="str">
        <v>Arise</v>
      </c>
      <c r="O11" s="222">
        <v>44595</v>
      </c>
      <c r="P11" s="220" t="str" cm="1">
        <f t="array" ref="P11">_xlfn.IFS($L$1-O11&gt;0,_xlfn.CONCAT($L$1-O11," Days Overdue"),$L$1-O11&lt;0,_xlfn.CONCAT(($L$1-O11)*-1," Days Away"),$L$1-O11=$L$1-O11,"Claimable Today")</f>
        <v>6 Days Overdue</v>
      </c>
      <c r="T11" s="79" t="s">
        <v>51</v>
      </c>
      <c r="U11" s="79">
        <f>_xlfn.XLOOKUP('Admin Interface'!T11,Table7[in-game_name],Table7[slp_last_payout])</f>
        <v>1737</v>
      </c>
      <c r="V11" s="79" t="s">
        <v>52</v>
      </c>
      <c r="W11" s="79">
        <f>_xlfn.XLOOKUP('Admin Interface'!V11,Table7[in-game_name],Table7[slp_last_payout])</f>
        <v>2696</v>
      </c>
      <c r="X11" s="79" t="s">
        <v>53</v>
      </c>
      <c r="Y11" s="79">
        <f>_xlfn.XLOOKUP('Admin Interface'!X11,Table7[in-game_name],Table7[slp_last_payout])</f>
        <v>639</v>
      </c>
    </row>
    <row r="12" spans="3:25" ht="16.5" x14ac:dyDescent="0.25">
      <c r="C12" s="209"/>
      <c r="D12" s="251" t="s">
        <v>54</v>
      </c>
      <c r="E12" s="251"/>
      <c r="F12" s="210"/>
      <c r="G12" s="251" t="s">
        <v>54</v>
      </c>
      <c r="H12" s="251"/>
      <c r="I12" s="210"/>
      <c r="J12" s="210"/>
      <c r="K12" s="210"/>
      <c r="L12" s="211"/>
      <c r="N12" s="215" t="str">
        <v>Canto</v>
      </c>
      <c r="O12" s="219">
        <v>44594</v>
      </c>
      <c r="P12" s="220" t="str" cm="1">
        <f t="array" ref="P12">_xlfn.IFS($L$1-O12&gt;0,_xlfn.CONCAT($L$1-O12," Days Overdue"),$L$1-O12&lt;0,_xlfn.CONCAT(($L$1-O12)*-1," Days Away"),$L$1-O12=$L$1-O12,"Claimable Today")</f>
        <v>7 Days Overdue</v>
      </c>
      <c r="T12" s="79" t="s">
        <v>55</v>
      </c>
      <c r="U12" s="79">
        <f>_xlfn.XLOOKUP('Admin Interface'!T12,Table7[in-game_name],Table7[slp_last_payout])</f>
        <v>477</v>
      </c>
      <c r="V12" s="79" t="s">
        <v>56</v>
      </c>
      <c r="W12" s="79">
        <f>_xlfn.XLOOKUP('Admin Interface'!V12,Table7[in-game_name],Table7[slp_last_payout])</f>
        <v>2099</v>
      </c>
      <c r="X12" s="79" t="s">
        <v>57</v>
      </c>
      <c r="Y12" s="79">
        <f>_xlfn.XLOOKUP('Admin Interface'!X12,Table7[in-game_name],Table7[slp_last_payout])</f>
        <v>2209</v>
      </c>
    </row>
    <row r="13" spans="3:25" x14ac:dyDescent="0.25">
      <c r="C13" s="37" t="s">
        <v>58</v>
      </c>
      <c r="D13" s="77">
        <f>SUM(E18:E37)</f>
        <v>41835</v>
      </c>
      <c r="E13" s="38" t="s">
        <v>59</v>
      </c>
      <c r="F13" s="78" t="str">
        <f>IF(V27&gt;366,IFERROR(_xlfn.CONCAT(DATEDIF(0,(_xlfn.XLOOKUP('Admin Interface'!D3,Transactions!B2:B301,Transactions!D2:D301,"Not Found",,-1)-_xlfn.XLOOKUP(D3,'User Details'!B2:B51,'User Details'!J2:J51,,,1)),"Y")," Years ",DATEDIF(0,V27,"YM")," Months ",DATEDIF(0,V27,"MD")," Days"),_xlfn.CONCAT(V27," Days")),IFERROR(_xlfn.CONCAT(DATEDIF(0,V27,"YM")," Months ",DATEDIF(0,V27,"MD")," Days"),_xlfn.CONCAT(V27," Days")))</f>
        <v>6 Months 23 Days</v>
      </c>
      <c r="G13" s="39"/>
      <c r="H13" s="155" t="s">
        <v>60</v>
      </c>
      <c r="I13" s="80">
        <f>AVERAGE(E18:E37)</f>
        <v>3486.25</v>
      </c>
      <c r="J13" s="40" t="s">
        <v>61</v>
      </c>
      <c r="K13" s="80">
        <f>AVERAGE(_xlfn.XLOOKUP(D39,B18:B37,E18:E37,"No Record",,1),_xlfn.XLOOKUP((D39-1),B18:B37,E18:E37,"No Record",,1))</f>
        <v>4136.5</v>
      </c>
      <c r="L13" s="84" t="str" cm="1">
        <f t="array" ref="L13">_xlfn.IFS(K13&gt;=(I14*1.25),"Way Above Average",K13&gt;=I14,"Above Average",K13&lt;(I14*0.5),"Way Below Average",K13&lt;I14,"Below Average")</f>
        <v>Way Above Average</v>
      </c>
      <c r="N13" s="215" t="str">
        <v>Ash</v>
      </c>
      <c r="O13" s="219">
        <v>44593</v>
      </c>
      <c r="P13" s="220" t="str" cm="1">
        <f t="array" ref="P13">_xlfn.IFS($L$1-O13&gt;0,_xlfn.CONCAT($L$1-O13," Days Overdue"),$L$1-O13&lt;0,_xlfn.CONCAT(($L$1-O13)*-1," Days Away"),$L$1-O13=$L$1-O13,"Claimable Today")</f>
        <v>8 Days Overdue</v>
      </c>
      <c r="T13" s="79" t="s">
        <v>62</v>
      </c>
      <c r="U13" s="79">
        <f>_xlfn.XLOOKUP('Admin Interface'!T13,Table7[in-game_name],Table7[slp_last_payout])</f>
        <v>1969</v>
      </c>
      <c r="V13" s="79" t="s">
        <v>63</v>
      </c>
      <c r="W13" s="79">
        <f>_xlfn.XLOOKUP('Admin Interface'!V13,Table7[in-game_name],Table7[slp_last_payout])</f>
        <v>2213</v>
      </c>
      <c r="X13" s="79" t="s">
        <v>64</v>
      </c>
      <c r="Y13" s="79">
        <f>_xlfn.XLOOKUP('Admin Interface'!X13,Table7[in-game_name],Table7[slp_last_payout])</f>
        <v>877</v>
      </c>
    </row>
    <row r="14" spans="3:25" x14ac:dyDescent="0.25">
      <c r="C14" s="22" t="s">
        <v>65</v>
      </c>
      <c r="D14" s="48" cm="1">
        <f t="array" ref="D14">SUM(H18:H37+J18:J37+L18:L37)</f>
        <v>209442.5</v>
      </c>
      <c r="E14" s="23" t="s">
        <v>66</v>
      </c>
      <c r="F14" s="3">
        <f>SUM(_xlfn.XLOOKUP(D3,Transactions!B2:B282,Transactions!D2:D282,,,-1)+_xlfn.XLOOKUP(D3,'User Details'!B2:B51,'User Details'!L2:L51,,,))</f>
        <v>44589</v>
      </c>
      <c r="G14" s="157" t="s">
        <v>67</v>
      </c>
      <c r="H14" s="156" t="s">
        <v>68</v>
      </c>
      <c r="I14" s="90">
        <f>AVERAGE(Table8[slp_farmed])</f>
        <v>2131.049645390071</v>
      </c>
      <c r="J14" s="41" t="s">
        <v>69</v>
      </c>
      <c r="K14" s="1" t="str" cm="1">
        <f t="array" ref="K14">_xlfn.IFS(K13&gt;=(I14*1.25),"Potential to be a Tutor",K13&gt;=I14,"None",K13&lt;(I14*0.5),"Subject to Assistance",K13&lt;I14,_xlfn.CONCAT("Notify ",_xlfn.IFS(F4="Female","Ms. ",F4="Male","Mr. "),D3))</f>
        <v>Potential to be a Tutor</v>
      </c>
      <c r="L14" s="24"/>
      <c r="N14" s="215" t="str">
        <v>Toxi</v>
      </c>
      <c r="O14" s="219">
        <v>44593</v>
      </c>
      <c r="P14" s="220" t="str" cm="1">
        <f t="array" ref="P14">_xlfn.IFS($L$1-O14&gt;0,_xlfn.CONCAT($L$1-O14," Days Overdue"),$L$1-O14&lt;0,_xlfn.CONCAT(($L$1-O14)*-1," Days Away"),$L$1-O14=$L$1-O14,"Claimable Today")</f>
        <v>8 Days Overdue</v>
      </c>
      <c r="T14" s="79" t="s">
        <v>70</v>
      </c>
      <c r="U14" s="79">
        <f>_xlfn.XLOOKUP('Admin Interface'!T14,Table7[in-game_name],Table7[slp_last_payout])</f>
        <v>2042</v>
      </c>
      <c r="V14" s="79" t="s">
        <v>71</v>
      </c>
      <c r="W14" s="79">
        <f>_xlfn.XLOOKUP('Admin Interface'!V14,Table7[in-game_name],Table7[slp_last_payout])</f>
        <v>563</v>
      </c>
      <c r="X14" s="79" t="s">
        <v>72</v>
      </c>
      <c r="Y14" s="79">
        <f>_xlfn.XLOOKUP('Admin Interface'!X14,Table7[in-game_name],Table7[slp_last_payout])</f>
        <v>662</v>
      </c>
    </row>
    <row r="15" spans="3:25" x14ac:dyDescent="0.25">
      <c r="C15" s="22" t="s">
        <v>73</v>
      </c>
      <c r="D15" s="89" cm="1">
        <f t="array" ref="D15">IFERROR(SUM(E18:E37/SUM(A18:A36)),"Not Applicable")</f>
        <v>219.03141361256544</v>
      </c>
      <c r="F15" s="91" t="str" cm="1">
        <f t="array" ref="F15">_xlfn.IFS(L1-F14&gt;0,_xlfn.CONCAT(L1-F14," Days Overdue"),L1-F14&lt;0,_xlfn.CONCAT((L1-F14)*-1," Days Away"),L1-F14=L1-F14,"Claimable Today")</f>
        <v>12 Days Overdue</v>
      </c>
      <c r="I15" s="3"/>
      <c r="L15" s="24"/>
      <c r="N15" s="215" t="str">
        <v>Fenrir</v>
      </c>
      <c r="O15" s="219">
        <v>44593</v>
      </c>
      <c r="P15" s="220" t="str" cm="1">
        <f t="array" ref="P15">_xlfn.IFS($L$1-O15&gt;0,_xlfn.CONCAT($L$1-O15," Days Overdue"),$L$1-O15&lt;0,_xlfn.CONCAT(($L$1-O15)*-1," Days Away"),$L$1-O15=$L$1-O15,"Claimable Today")</f>
        <v>8 Days Overdue</v>
      </c>
      <c r="T15" s="79" t="s">
        <v>74</v>
      </c>
      <c r="U15" s="79">
        <f>_xlfn.XLOOKUP('Admin Interface'!T15,Table7[in-game_name],Table7[slp_last_payout])</f>
        <v>4184</v>
      </c>
      <c r="V15" s="79" t="s">
        <v>75</v>
      </c>
      <c r="W15" s="79">
        <f>_xlfn.XLOOKUP('Admin Interface'!V15,Table7[in-game_name],Table7[slp_last_payout])</f>
        <v>1244</v>
      </c>
      <c r="X15" s="79" t="s">
        <v>76</v>
      </c>
      <c r="Y15" s="79">
        <f>_xlfn.XLOOKUP('Admin Interface'!X15,Table7[in-game_name],Table7[slp_last_payout])</f>
        <v>286</v>
      </c>
    </row>
    <row r="16" spans="3:25" ht="16.5" x14ac:dyDescent="0.25">
      <c r="C16" s="209"/>
      <c r="D16" s="251" t="s">
        <v>77</v>
      </c>
      <c r="E16" s="251"/>
      <c r="F16" s="210"/>
      <c r="G16" s="251" t="s">
        <v>77</v>
      </c>
      <c r="H16" s="251"/>
      <c r="I16" s="210"/>
      <c r="J16" s="210"/>
      <c r="K16" s="210"/>
      <c r="L16" s="211"/>
      <c r="N16" s="215" t="str">
        <v>Vole</v>
      </c>
      <c r="O16" s="219">
        <v>44592</v>
      </c>
      <c r="P16" s="220" t="str" cm="1">
        <f t="array" ref="P16">_xlfn.IFS($L$1-O16&gt;0,_xlfn.CONCAT($L$1-O16," Days Overdue"),$L$1-O16&lt;0,_xlfn.CONCAT(($L$1-O16)*-1," Days Away"),$L$1-O16=$L$1-O16,"Claimable Today")</f>
        <v>9 Days Overdue</v>
      </c>
      <c r="T16" s="79" t="s">
        <v>78</v>
      </c>
      <c r="U16" s="79">
        <f>_xlfn.XLOOKUP('Admin Interface'!T16,Table7[in-game_name],Table7[slp_last_payout])</f>
        <v>1172</v>
      </c>
      <c r="V16" s="79" t="s">
        <v>79</v>
      </c>
      <c r="W16" s="79">
        <f>_xlfn.XLOOKUP('Admin Interface'!V16,Table7[in-game_name],Table7[slp_last_payout])</f>
        <v>1242</v>
      </c>
      <c r="X16" s="79" t="s">
        <v>80</v>
      </c>
      <c r="Y16" s="79">
        <f>_xlfn.XLOOKUP('Admin Interface'!X16,Table7[in-game_name],Table7[slp_last_payout])</f>
        <v>1477</v>
      </c>
    </row>
    <row r="17" spans="1:25" x14ac:dyDescent="0.25">
      <c r="B17" s="42" t="s">
        <v>81</v>
      </c>
      <c r="C17" s="43" t="s">
        <v>82</v>
      </c>
      <c r="D17" s="81" t="s">
        <v>83</v>
      </c>
      <c r="E17" s="82" t="s">
        <v>84</v>
      </c>
      <c r="F17" s="83" t="s">
        <v>85</v>
      </c>
      <c r="G17" s="81" t="str">
        <f>_xlfn.CONCAT(D3,"'s SLP")</f>
        <v>Raze's SLP</v>
      </c>
      <c r="H17" s="81" t="str">
        <f>_xlfn.CONCAT(D3,"'s PHP")</f>
        <v>Raze's PHP</v>
      </c>
      <c r="I17" s="82" t="s">
        <v>86</v>
      </c>
      <c r="J17" s="83" t="s">
        <v>87</v>
      </c>
      <c r="K17" s="81" t="s">
        <v>88</v>
      </c>
      <c r="L17" s="81" t="s">
        <v>89</v>
      </c>
      <c r="N17" s="215" t="str">
        <v>Borax</v>
      </c>
      <c r="O17" s="219">
        <v>44592</v>
      </c>
      <c r="P17" s="220" t="str" cm="1">
        <f t="array" ref="P17">_xlfn.IFS($L$1-O17&gt;0,_xlfn.CONCAT($L$1-O17," Days Overdue"),$L$1-O17&lt;0,_xlfn.CONCAT(($L$1-O17)*-1," Days Away"),$L$1-O17=$L$1-O17,"Claimable Today")</f>
        <v>9 Days Overdue</v>
      </c>
      <c r="T17" s="79" t="s">
        <v>90</v>
      </c>
      <c r="U17" s="79">
        <f>_xlfn.XLOOKUP('Admin Interface'!T17,Table7[in-game_name],Table7[slp_last_payout])</f>
        <v>2755</v>
      </c>
      <c r="V17" s="79" t="s">
        <v>91</v>
      </c>
      <c r="W17" s="79">
        <f>_xlfn.XLOOKUP('Admin Interface'!V17,Table7[in-game_name],Table7[slp_last_payout])</f>
        <v>1258</v>
      </c>
      <c r="X17" s="79"/>
      <c r="Y17" s="79"/>
    </row>
    <row r="18" spans="1:25" x14ac:dyDescent="0.25">
      <c r="A18" s="151">
        <f t="shared" ref="A18:A27" si="0">IF((D19-D18)&gt;0,(D19-D18),(D19-D18)-(D19-D18))</f>
        <v>17</v>
      </c>
      <c r="B18" s="42">
        <v>1</v>
      </c>
      <c r="C18" s="66" cm="1">
        <f t="array" ref="C18:C29">_xlfn._xlws.FILTER(Transactions!A2:A301,Transactions!B2:B301=D3,"Not Found")</f>
        <v>1</v>
      </c>
      <c r="D18" s="50" cm="1">
        <f t="array" ref="D18:D29">_xlfn._xlws.FILTER(Transactions!D2:D301,Transactions!B2:B301='Admin Interface'!D3,"Not Found")</f>
        <v>44384</v>
      </c>
      <c r="E18" s="39" cm="1">
        <f t="array" ref="E18:E29">_xlfn._xlws.FILTER(Transactions!E2:E301,Transactions!B2:B301=D3,"Not Found")</f>
        <v>3553</v>
      </c>
      <c r="F18" s="53" cm="1">
        <f t="array" ref="F18:F29">_xlfn._xlws.FILTER(Transactions!F2:F301,Transactions!B2:B301=D3,"Not Found")</f>
        <v>10.8</v>
      </c>
      <c r="G18" s="59" cm="1">
        <f t="array" ref="G18:G29">_xlfn._xlws.FILTER(Transactions!K2:K301,Transactions!B2:B301=D3,"Not Found")</f>
        <v>1776.5</v>
      </c>
      <c r="H18" s="61" cm="1">
        <f t="array" ref="H18:H29">_xlfn._xlws.FILTER(Transactions!N2:N301,Transactions!B2:B301=D3,"Not Found")</f>
        <v>19186.2</v>
      </c>
      <c r="I18" s="64" cm="1">
        <f t="array" ref="I18:I29">_xlfn._xlws.FILTER(Transactions!J2:J301,Transactions!B2:B301=D3,"Not Found")</f>
        <v>0</v>
      </c>
      <c r="J18" s="54" cm="1">
        <f t="array" ref="J18:J29">_xlfn._xlws.FILTER(Transactions!M2:M301,Transactions!B2:B301=D3,"Not Found")</f>
        <v>0</v>
      </c>
      <c r="K18" s="54" cm="1">
        <f t="array" ref="K18:K29">_xlfn._xlws.FILTER(Transactions!L2:L301,Transactions!B2:B301=D3,"Not Found")</f>
        <v>1776.5</v>
      </c>
      <c r="L18" s="54" cm="1">
        <f t="array" ref="L18:L29">_xlfn._xlws.FILTER(Transactions!O2:O301,Transactions!B2:B301=D3,"Not Found")</f>
        <v>19186.2</v>
      </c>
      <c r="N18" s="215" t="str">
        <v>Pix</v>
      </c>
      <c r="O18" s="219">
        <v>44592</v>
      </c>
      <c r="P18" s="220" t="str" cm="1">
        <f t="array" ref="P18">_xlfn.IFS($L$1-O18&gt;0,_xlfn.CONCAT($L$1-O18," Days Overdue"),$L$1-O18&lt;0,_xlfn.CONCAT(($L$1-O18)*-1," Days Away"),$L$1-O18=$L$1-O18,"Claimable Today")</f>
        <v>9 Days Overdue</v>
      </c>
      <c r="T18" s="79" t="s">
        <v>92</v>
      </c>
      <c r="U18" s="79">
        <f>_xlfn.XLOOKUP('Admin Interface'!T18,Table7[in-game_name],Table7[slp_last_payout])</f>
        <v>2001</v>
      </c>
      <c r="V18" s="79" t="s">
        <v>93</v>
      </c>
      <c r="W18" s="79">
        <f>_xlfn.XLOOKUP('Admin Interface'!V18,Table7[in-game_name],Table7[slp_last_payout])</f>
        <v>77</v>
      </c>
      <c r="X18" s="79"/>
      <c r="Y18" s="79"/>
    </row>
    <row r="19" spans="1:25" x14ac:dyDescent="0.25">
      <c r="A19" s="151">
        <f t="shared" si="0"/>
        <v>14</v>
      </c>
      <c r="B19" s="49">
        <v>2</v>
      </c>
      <c r="C19" s="47">
        <v>7</v>
      </c>
      <c r="D19" s="51">
        <v>44401</v>
      </c>
      <c r="E19" s="1">
        <v>2950</v>
      </c>
      <c r="F19" s="55">
        <v>14</v>
      </c>
      <c r="G19" s="60">
        <v>1475</v>
      </c>
      <c r="H19" s="62">
        <v>20650</v>
      </c>
      <c r="I19" s="65">
        <v>0</v>
      </c>
      <c r="J19" s="56">
        <v>0</v>
      </c>
      <c r="K19" s="56">
        <v>1475</v>
      </c>
      <c r="L19" s="56">
        <v>20650</v>
      </c>
      <c r="N19" s="215" t="str">
        <v>Yosh</v>
      </c>
      <c r="O19" s="219">
        <v>44592</v>
      </c>
      <c r="P19" s="220" t="str" cm="1">
        <f t="array" ref="P19">_xlfn.IFS($L$1-O19&gt;0,_xlfn.CONCAT($L$1-O19," Days Overdue"),$L$1-O19&lt;0,_xlfn.CONCAT(($L$1-O19)*-1," Days Away"),$L$1-O19=$L$1-O19,"Claimable Today")</f>
        <v>9 Days Overdue</v>
      </c>
      <c r="T19" s="249"/>
      <c r="U19" s="249"/>
      <c r="V19" s="249"/>
      <c r="W19" s="249"/>
      <c r="X19" s="249"/>
      <c r="Y19" s="249"/>
    </row>
    <row r="20" spans="1:25" x14ac:dyDescent="0.25">
      <c r="A20" s="151">
        <f t="shared" si="0"/>
        <v>16</v>
      </c>
      <c r="B20" s="49">
        <v>3</v>
      </c>
      <c r="C20" s="47">
        <v>17</v>
      </c>
      <c r="D20" s="51">
        <v>44415</v>
      </c>
      <c r="E20" s="1">
        <v>3072</v>
      </c>
      <c r="F20" s="55">
        <v>8.1999999999999993</v>
      </c>
      <c r="G20" s="60">
        <v>1536</v>
      </c>
      <c r="H20" s="62">
        <v>12595.199999999999</v>
      </c>
      <c r="I20" s="65">
        <v>0</v>
      </c>
      <c r="J20" s="56">
        <v>0</v>
      </c>
      <c r="K20" s="56">
        <v>1536</v>
      </c>
      <c r="L20" s="56">
        <v>12595.199999999999</v>
      </c>
      <c r="N20" s="215" t="str">
        <v>Mania</v>
      </c>
      <c r="O20" s="219">
        <v>44592</v>
      </c>
      <c r="P20" s="220" t="str" cm="1">
        <f t="array" ref="P20">_xlfn.IFS($L$1-O20&gt;0,_xlfn.CONCAT($L$1-O20," Days Overdue"),$L$1-O20&lt;0,_xlfn.CONCAT(($L$1-O20)*-1," Days Away"),$L$1-O20=$L$1-O20,"Claimable Today")</f>
        <v>9 Days Overdue</v>
      </c>
      <c r="T20" s="249"/>
      <c r="U20" s="249"/>
      <c r="V20" s="249"/>
      <c r="W20" s="249"/>
      <c r="X20" s="249"/>
      <c r="Y20" s="249"/>
    </row>
    <row r="21" spans="1:25" x14ac:dyDescent="0.25">
      <c r="A21" s="151">
        <f t="shared" si="0"/>
        <v>10</v>
      </c>
      <c r="B21" s="49">
        <v>4</v>
      </c>
      <c r="C21" s="47">
        <v>36</v>
      </c>
      <c r="D21" s="51">
        <v>44431</v>
      </c>
      <c r="E21" s="1">
        <v>1199</v>
      </c>
      <c r="F21" s="55">
        <v>7.5</v>
      </c>
      <c r="G21" s="60">
        <v>599.5</v>
      </c>
      <c r="H21" s="62">
        <v>4496.25</v>
      </c>
      <c r="I21" s="65">
        <v>0</v>
      </c>
      <c r="J21" s="56">
        <v>0</v>
      </c>
      <c r="K21" s="56">
        <v>599.5</v>
      </c>
      <c r="L21" s="56">
        <v>4496.25</v>
      </c>
      <c r="N21" s="215" t="str">
        <v>Bulba</v>
      </c>
      <c r="O21" s="219">
        <v>44591</v>
      </c>
      <c r="P21" s="220" t="str" cm="1">
        <f t="array" ref="P21">_xlfn.IFS($L$1-O21&gt;0,_xlfn.CONCAT($L$1-O21," Days Overdue"),$L$1-O21&lt;0,_xlfn.CONCAT(($L$1-O21)*-1," Days Away"),$L$1-O21=$L$1-O21,"Claimable Today")</f>
        <v>10 Days Overdue</v>
      </c>
      <c r="T21" s="249"/>
      <c r="U21" s="249"/>
      <c r="V21" s="249"/>
      <c r="W21" s="249"/>
      <c r="X21" s="249"/>
      <c r="Y21" s="249"/>
    </row>
    <row r="22" spans="1:25" x14ac:dyDescent="0.25">
      <c r="A22" s="151">
        <f t="shared" si="0"/>
        <v>45</v>
      </c>
      <c r="B22" s="49">
        <v>5</v>
      </c>
      <c r="C22" s="47">
        <v>55</v>
      </c>
      <c r="D22" s="51">
        <v>44441</v>
      </c>
      <c r="E22" s="1">
        <v>1895</v>
      </c>
      <c r="F22" s="55">
        <v>6</v>
      </c>
      <c r="G22" s="60">
        <v>1895</v>
      </c>
      <c r="H22" s="62">
        <v>11370</v>
      </c>
      <c r="I22" s="65">
        <v>0</v>
      </c>
      <c r="J22" s="56">
        <v>0</v>
      </c>
      <c r="K22" s="56">
        <v>0</v>
      </c>
      <c r="L22" s="56">
        <v>0</v>
      </c>
      <c r="N22" s="216" t="str">
        <v>Tavo</v>
      </c>
      <c r="O22" s="223">
        <v>44591</v>
      </c>
      <c r="P22" s="224" t="str" cm="1">
        <f t="array" ref="P22">_xlfn.IFS($L$1-O22&gt;0,_xlfn.CONCAT($L$1-O22," Days Overdue"),$L$1-O22&lt;0,_xlfn.CONCAT(($L$1-O22)*-1," Days Away"),$L$1-O22=$L$1-O22,"Claimable Today")</f>
        <v>10 Days Overdue</v>
      </c>
      <c r="S22" s="213" t="s">
        <v>94</v>
      </c>
      <c r="T22" s="249"/>
      <c r="U22" s="249"/>
      <c r="V22" s="249"/>
      <c r="W22" s="249"/>
      <c r="X22" s="249"/>
      <c r="Y22" s="249"/>
    </row>
    <row r="23" spans="1:25" x14ac:dyDescent="0.25">
      <c r="A23" s="151">
        <f t="shared" si="0"/>
        <v>14</v>
      </c>
      <c r="B23" s="49">
        <v>6</v>
      </c>
      <c r="C23" s="47">
        <v>94</v>
      </c>
      <c r="D23" s="51">
        <v>44486</v>
      </c>
      <c r="E23" s="1">
        <v>3984</v>
      </c>
      <c r="F23" s="55">
        <v>3.6</v>
      </c>
      <c r="G23" s="60">
        <v>3984</v>
      </c>
      <c r="H23" s="62">
        <v>14342.4</v>
      </c>
      <c r="I23" s="65">
        <v>0</v>
      </c>
      <c r="J23" s="56">
        <v>0</v>
      </c>
      <c r="K23" s="56">
        <v>0</v>
      </c>
      <c r="L23" s="56">
        <v>0</v>
      </c>
      <c r="T23" s="249"/>
      <c r="U23" s="249"/>
      <c r="V23" s="249"/>
      <c r="W23" s="249"/>
      <c r="X23" s="249"/>
      <c r="Y23" s="249"/>
    </row>
    <row r="24" spans="1:25" x14ac:dyDescent="0.25">
      <c r="A24" s="151">
        <f t="shared" si="0"/>
        <v>16</v>
      </c>
      <c r="B24" s="49">
        <v>7</v>
      </c>
      <c r="C24" s="47">
        <v>110</v>
      </c>
      <c r="D24" s="51">
        <v>44500</v>
      </c>
      <c r="E24" s="1">
        <v>3998</v>
      </c>
      <c r="F24" s="55">
        <v>3.8</v>
      </c>
      <c r="G24" s="60">
        <v>3998</v>
      </c>
      <c r="H24" s="62">
        <v>15192.4</v>
      </c>
      <c r="I24" s="65">
        <v>0</v>
      </c>
      <c r="J24" s="56">
        <v>0</v>
      </c>
      <c r="K24" s="56">
        <v>0</v>
      </c>
      <c r="L24" s="56">
        <v>0</v>
      </c>
      <c r="T24" s="249"/>
      <c r="U24" s="249"/>
      <c r="V24" s="249"/>
      <c r="W24" s="249"/>
      <c r="X24" s="249"/>
      <c r="Y24" s="249"/>
    </row>
    <row r="25" spans="1:25" x14ac:dyDescent="0.25">
      <c r="A25" s="151">
        <f t="shared" si="0"/>
        <v>8</v>
      </c>
      <c r="B25" s="49">
        <v>8</v>
      </c>
      <c r="C25" s="47">
        <v>150</v>
      </c>
      <c r="D25" s="51">
        <v>44516</v>
      </c>
      <c r="E25" s="1">
        <v>3257</v>
      </c>
      <c r="F25" s="55">
        <v>4.3</v>
      </c>
      <c r="G25" s="60">
        <v>3257</v>
      </c>
      <c r="H25" s="62">
        <v>14005.099999999999</v>
      </c>
      <c r="I25" s="65">
        <v>0</v>
      </c>
      <c r="J25" s="56">
        <v>0</v>
      </c>
      <c r="K25" s="56">
        <v>0</v>
      </c>
      <c r="L25" s="56">
        <v>0</v>
      </c>
      <c r="T25" s="249"/>
      <c r="U25" s="249"/>
      <c r="V25" s="249"/>
      <c r="W25" s="249"/>
      <c r="X25" s="249"/>
      <c r="Y25" s="249"/>
    </row>
    <row r="26" spans="1:25" x14ac:dyDescent="0.25">
      <c r="A26" s="151">
        <f t="shared" si="0"/>
        <v>6</v>
      </c>
      <c r="B26" s="49">
        <v>9</v>
      </c>
      <c r="C26" s="47">
        <v>171</v>
      </c>
      <c r="D26" s="51">
        <v>44524</v>
      </c>
      <c r="E26" s="1">
        <v>6328</v>
      </c>
      <c r="F26" s="55">
        <v>3.2</v>
      </c>
      <c r="G26" s="60">
        <v>6328</v>
      </c>
      <c r="H26" s="62">
        <v>20249.600000000002</v>
      </c>
      <c r="I26" s="65">
        <v>0</v>
      </c>
      <c r="J26" s="56">
        <v>0</v>
      </c>
      <c r="K26" s="56">
        <v>0</v>
      </c>
      <c r="L26" s="56">
        <v>0</v>
      </c>
      <c r="T26" s="23" t="s">
        <v>95</v>
      </c>
      <c r="U26" s="23"/>
    </row>
    <row r="27" spans="1:25" x14ac:dyDescent="0.25">
      <c r="A27" s="151">
        <f t="shared" si="0"/>
        <v>21</v>
      </c>
      <c r="B27" s="49">
        <v>10</v>
      </c>
      <c r="C27" s="47">
        <v>188</v>
      </c>
      <c r="D27" s="51">
        <v>44530</v>
      </c>
      <c r="E27" s="1">
        <v>3326</v>
      </c>
      <c r="F27" s="55">
        <v>3.2</v>
      </c>
      <c r="G27" s="60">
        <v>3326</v>
      </c>
      <c r="H27" s="62">
        <v>10643.2</v>
      </c>
      <c r="I27" s="65">
        <v>0</v>
      </c>
      <c r="J27" s="56">
        <v>0</v>
      </c>
      <c r="K27" s="56">
        <v>0</v>
      </c>
      <c r="L27" s="56">
        <v>0</v>
      </c>
      <c r="T27" s="36" t="s">
        <v>96</v>
      </c>
      <c r="V27" s="168">
        <f>IFERROR(_xlfn.XLOOKUP('Admin Interface'!D3,Transactions!B2:B301,Transactions!D2:D301,"Not Found",,-1)-_xlfn.XLOOKUP(D3,'User Details'!B2:B51,'User Details'!J2:J51,"Not Applicable",,1),_xlfn.XLOOKUP(D3,Table4[in-game_name],Table4[payout_days_interval],"Not Found"))</f>
        <v>205</v>
      </c>
    </row>
    <row r="28" spans="1:25" x14ac:dyDescent="0.25">
      <c r="A28" s="151">
        <f>IF((D29-D28)&gt;0,(D29-D28),(D29-D28)-(D29-D28))</f>
        <v>24</v>
      </c>
      <c r="B28" s="49">
        <v>11</v>
      </c>
      <c r="C28" s="47">
        <v>226</v>
      </c>
      <c r="D28" s="51">
        <v>44551</v>
      </c>
      <c r="E28" s="1">
        <v>3568</v>
      </c>
      <c r="F28" s="55">
        <v>1.45</v>
      </c>
      <c r="G28" s="60">
        <v>3568</v>
      </c>
      <c r="H28" s="62">
        <v>5173.5999999999995</v>
      </c>
      <c r="I28" s="65">
        <v>0</v>
      </c>
      <c r="J28" s="56">
        <v>0</v>
      </c>
      <c r="K28" s="56">
        <v>0</v>
      </c>
      <c r="L28" s="56">
        <v>0</v>
      </c>
      <c r="T28" s="36" t="s">
        <v>97</v>
      </c>
      <c r="V28" s="168" t="str">
        <f>_xlfn.CONCAT(L1-F14," Days")</f>
        <v>12 Days</v>
      </c>
    </row>
    <row r="29" spans="1:25" x14ac:dyDescent="0.25">
      <c r="A29" s="151">
        <f t="shared" ref="A29:A30" si="1">IF((D30-D29)&gt;0,(D30-D29),(D30-D29)-(D30-D29))</f>
        <v>0</v>
      </c>
      <c r="B29" s="49">
        <v>12</v>
      </c>
      <c r="C29" s="47">
        <v>257</v>
      </c>
      <c r="D29" s="51">
        <v>44575</v>
      </c>
      <c r="E29" s="1">
        <v>4705</v>
      </c>
      <c r="F29" s="55">
        <v>0.98</v>
      </c>
      <c r="G29" s="60">
        <v>4705</v>
      </c>
      <c r="H29" s="62">
        <v>4610.8999999999996</v>
      </c>
      <c r="I29" s="65">
        <v>0</v>
      </c>
      <c r="J29" s="56">
        <v>0</v>
      </c>
      <c r="K29" s="56">
        <v>0</v>
      </c>
      <c r="L29" s="56">
        <v>0</v>
      </c>
      <c r="T29" s="36" t="s">
        <v>98</v>
      </c>
      <c r="V29" s="1" t="str">
        <f>_xlfn.CONCAT(D3,"'s SLP Farm Trend")</f>
        <v>Raze's SLP Farm Trend</v>
      </c>
    </row>
    <row r="30" spans="1:25" x14ac:dyDescent="0.25">
      <c r="A30" s="151">
        <f t="shared" si="1"/>
        <v>0</v>
      </c>
      <c r="B30" s="49">
        <v>13</v>
      </c>
      <c r="C30" s="47"/>
      <c r="D30" s="51"/>
      <c r="F30" s="55"/>
      <c r="G30" s="60"/>
      <c r="H30" s="62"/>
      <c r="I30" s="65"/>
      <c r="J30" s="56"/>
      <c r="K30" s="56"/>
      <c r="L30" s="56"/>
      <c r="W30" s="2"/>
      <c r="X30" s="249"/>
      <c r="Y30" s="249"/>
    </row>
    <row r="31" spans="1:25" x14ac:dyDescent="0.25">
      <c r="A31" s="151"/>
      <c r="B31" s="49">
        <v>14</v>
      </c>
      <c r="C31" s="47"/>
      <c r="D31" s="51"/>
      <c r="F31" s="55"/>
      <c r="G31" s="60"/>
      <c r="H31" s="62"/>
      <c r="I31" s="65"/>
      <c r="J31" s="56"/>
      <c r="K31" s="56"/>
      <c r="L31" s="56"/>
      <c r="T31" s="23" t="s">
        <v>99</v>
      </c>
      <c r="W31" s="2"/>
      <c r="X31" s="249"/>
      <c r="Y31" s="249"/>
    </row>
    <row r="32" spans="1:25" x14ac:dyDescent="0.25">
      <c r="A32" s="151"/>
      <c r="B32" s="49">
        <v>15</v>
      </c>
      <c r="C32" s="47"/>
      <c r="D32" s="51"/>
      <c r="F32" s="55"/>
      <c r="G32" s="60"/>
      <c r="H32" s="62"/>
      <c r="I32" s="65"/>
      <c r="J32" s="56"/>
      <c r="K32" s="56"/>
      <c r="L32" s="56"/>
      <c r="T32" s="1" t="str">
        <f>IFERROR(_xlfn.CONCAT(DATEDIF(0,V27,"YM")," Months ",DATEDIF(0,V27,"MD")," Days"),_xlfn.CONCAT(V27," Days"))</f>
        <v>6 Months 23 Days</v>
      </c>
      <c r="W32" s="2"/>
      <c r="X32" s="249"/>
      <c r="Y32" s="249"/>
    </row>
    <row r="33" spans="1:25" x14ac:dyDescent="0.25">
      <c r="A33" s="151"/>
      <c r="B33" s="49">
        <v>16</v>
      </c>
      <c r="C33" s="47"/>
      <c r="D33" s="51"/>
      <c r="F33" s="55"/>
      <c r="G33" s="60"/>
      <c r="H33" s="62"/>
      <c r="I33" s="65"/>
      <c r="J33" s="56"/>
      <c r="K33" s="56"/>
      <c r="L33" s="56"/>
      <c r="T33" s="1" t="str">
        <f>IFERROR(_xlfn.CONCAT(DATEDIF(0,(_xlfn.XLOOKUP('Admin Interface'!D3,Transactions!B2:B301,Transactions!D2:D301,"Not Found",,-1)-_xlfn.XLOOKUP(D3,'User Details'!B2:B51,'User Details'!J2:J51,,,1)),"Y")," Years ",DATEDIF(0,V27,"YM")," Months ",DATEDIF(0,V27,"MD")," Days"),_xlfn.CONCAT(V27," Days"))</f>
        <v>0 Years 6 Months 23 Days</v>
      </c>
      <c r="U33" s="23"/>
    </row>
    <row r="34" spans="1:25" x14ac:dyDescent="0.25">
      <c r="A34" s="151"/>
      <c r="B34" s="49">
        <v>17</v>
      </c>
      <c r="C34" s="47"/>
      <c r="D34" s="51"/>
      <c r="F34" s="55"/>
      <c r="G34" s="60"/>
      <c r="H34" s="62"/>
      <c r="I34" s="65"/>
      <c r="J34" s="56"/>
      <c r="K34" s="56"/>
      <c r="L34" s="56"/>
      <c r="T34" s="249"/>
      <c r="U34" s="249"/>
      <c r="V34" s="249"/>
      <c r="W34" s="249"/>
      <c r="X34" s="249"/>
      <c r="Y34" s="249"/>
    </row>
    <row r="35" spans="1:25" x14ac:dyDescent="0.25">
      <c r="A35" s="151"/>
      <c r="B35" s="49">
        <v>18</v>
      </c>
      <c r="C35" s="47"/>
      <c r="D35" s="51"/>
      <c r="F35" s="55"/>
      <c r="G35" s="60"/>
      <c r="H35" s="62"/>
      <c r="I35" s="65"/>
      <c r="J35" s="56"/>
      <c r="K35" s="56"/>
      <c r="L35" s="56"/>
      <c r="T35" s="249"/>
      <c r="U35" s="249"/>
      <c r="V35" s="249"/>
      <c r="W35" s="249"/>
      <c r="X35" s="249"/>
      <c r="Y35" s="249"/>
    </row>
    <row r="36" spans="1:25" x14ac:dyDescent="0.25">
      <c r="A36" s="151"/>
      <c r="B36" s="49">
        <v>19</v>
      </c>
      <c r="C36" s="47"/>
      <c r="D36" s="51"/>
      <c r="F36" s="55"/>
      <c r="G36" s="60"/>
      <c r="H36" s="62"/>
      <c r="I36" s="65"/>
      <c r="J36" s="56"/>
      <c r="K36" s="56"/>
      <c r="L36" s="56"/>
      <c r="T36" s="249"/>
      <c r="U36" s="249"/>
      <c r="V36" s="249"/>
      <c r="W36" s="249"/>
      <c r="X36" s="249"/>
      <c r="Y36" s="249"/>
    </row>
    <row r="37" spans="1:25" x14ac:dyDescent="0.25">
      <c r="A37" s="151"/>
      <c r="B37" s="44">
        <v>20</v>
      </c>
      <c r="C37" s="67"/>
      <c r="D37" s="68"/>
      <c r="E37" s="16"/>
      <c r="F37" s="30"/>
      <c r="G37" s="69"/>
      <c r="H37" s="70"/>
      <c r="I37" s="71"/>
      <c r="J37" s="72"/>
      <c r="K37" s="72"/>
      <c r="L37" s="72"/>
      <c r="T37" s="249"/>
      <c r="U37" s="249"/>
      <c r="V37" s="249"/>
      <c r="W37" s="249"/>
      <c r="X37" s="249"/>
      <c r="Y37" s="249"/>
    </row>
    <row r="38" spans="1:25" x14ac:dyDescent="0.25">
      <c r="B38" s="44"/>
      <c r="C38" s="45"/>
      <c r="D38" s="46"/>
      <c r="E38" s="45">
        <f>SUM(E18:E37)</f>
        <v>41835</v>
      </c>
      <c r="F38" s="57"/>
      <c r="G38" s="57">
        <f t="shared" ref="G38:L38" si="2">SUM(G18:G37)</f>
        <v>36448</v>
      </c>
      <c r="H38" s="63">
        <f t="shared" si="2"/>
        <v>152514.85</v>
      </c>
      <c r="I38" s="46">
        <f t="shared" si="2"/>
        <v>0</v>
      </c>
      <c r="J38" s="52">
        <f t="shared" si="2"/>
        <v>0</v>
      </c>
      <c r="K38" s="58">
        <f t="shared" si="2"/>
        <v>5387</v>
      </c>
      <c r="L38" s="52">
        <f t="shared" si="2"/>
        <v>56927.649999999994</v>
      </c>
      <c r="T38" s="249"/>
      <c r="U38" s="249"/>
      <c r="V38" s="249"/>
      <c r="W38" s="249"/>
      <c r="X38" s="249"/>
      <c r="Y38" s="249"/>
    </row>
    <row r="39" spans="1:25" ht="17.25" customHeight="1" x14ac:dyDescent="0.25">
      <c r="C39" s="1" t="s">
        <v>100</v>
      </c>
      <c r="D39" s="88">
        <f>COUNT(C18:C37)</f>
        <v>12</v>
      </c>
      <c r="H39" s="87">
        <f>G38/($G$38+$I$38+$K$38)</f>
        <v>0.87123222182383175</v>
      </c>
      <c r="I39" s="31"/>
      <c r="J39" s="87">
        <f>I38/($G$38+$I$38+$K$38)</f>
        <v>0</v>
      </c>
      <c r="K39" s="31"/>
      <c r="L39" s="87">
        <f>K38/($G$38+$I$38+$K$38)</f>
        <v>0.12876777817616827</v>
      </c>
      <c r="T39" s="249"/>
      <c r="U39" s="249"/>
      <c r="V39" s="249"/>
      <c r="W39" s="249"/>
      <c r="X39" s="249"/>
      <c r="Y39" s="249"/>
    </row>
    <row r="42" spans="1:25" x14ac:dyDescent="0.25">
      <c r="N42" s="1" t="s">
        <v>101</v>
      </c>
    </row>
    <row r="52" spans="5:25" ht="15" thickBot="1" x14ac:dyDescent="0.3"/>
    <row r="53" spans="5:25" ht="17.25" thickBot="1" x14ac:dyDescent="0.3">
      <c r="E53" s="32"/>
      <c r="T53" s="257" t="s">
        <v>54</v>
      </c>
      <c r="U53" s="258"/>
      <c r="V53" s="258"/>
      <c r="W53" s="258"/>
      <c r="X53" s="258"/>
      <c r="Y53" s="259"/>
    </row>
    <row r="54" spans="5:25" x14ac:dyDescent="0.25">
      <c r="E54" s="33"/>
      <c r="T54" s="225" t="s">
        <v>102</v>
      </c>
      <c r="X54" s="230">
        <f>Table8[[#Totals],[user_slp]]</f>
        <v>268618.29097999999</v>
      </c>
      <c r="Y54" s="226"/>
    </row>
    <row r="55" spans="5:25" x14ac:dyDescent="0.25">
      <c r="E55" s="34"/>
      <c r="T55" s="225" t="s">
        <v>103</v>
      </c>
      <c r="X55" s="230">
        <f>Table8[[#Totals],[outsource_slp]]</f>
        <v>61477.930249999983</v>
      </c>
      <c r="Y55" s="226"/>
    </row>
    <row r="56" spans="5:25" x14ac:dyDescent="0.25">
      <c r="T56" s="225" t="s">
        <v>104</v>
      </c>
      <c r="X56" s="230">
        <f>Table8[[#Totals],[manager_slp]]</f>
        <v>270859.77876999998</v>
      </c>
      <c r="Y56" s="226"/>
    </row>
    <row r="57" spans="5:25" ht="15" customHeight="1" x14ac:dyDescent="0.25">
      <c r="E57" s="32"/>
      <c r="T57" s="225" t="s">
        <v>58</v>
      </c>
      <c r="X57" s="230">
        <f>Table8[[#Totals],[slp_farmed]]</f>
        <v>600956</v>
      </c>
      <c r="Y57" s="226"/>
    </row>
    <row r="58" spans="5:25" ht="15" customHeight="1" x14ac:dyDescent="0.25">
      <c r="E58" s="32"/>
      <c r="I58" s="35"/>
      <c r="T58" s="225" t="s">
        <v>105</v>
      </c>
      <c r="W58" s="260">
        <f>Transactions!R4</f>
        <v>1134096.6227474003</v>
      </c>
      <c r="X58" s="260"/>
      <c r="Y58" s="261"/>
    </row>
    <row r="59" spans="5:25" ht="15" customHeight="1" x14ac:dyDescent="0.25">
      <c r="E59" s="32"/>
      <c r="I59" s="35"/>
      <c r="T59" s="225" t="s">
        <v>106</v>
      </c>
      <c r="W59" s="262">
        <f>Transactions!R3</f>
        <v>248279.03917500007</v>
      </c>
      <c r="X59" s="262"/>
      <c r="Y59" s="261"/>
    </row>
    <row r="60" spans="5:25" ht="15" customHeight="1" x14ac:dyDescent="0.25">
      <c r="E60" s="32"/>
      <c r="T60" s="225" t="s">
        <v>107</v>
      </c>
      <c r="W60" s="262">
        <f>Transactions!R5</f>
        <v>1190404.8980776006</v>
      </c>
      <c r="X60" s="262"/>
      <c r="Y60" s="261"/>
    </row>
    <row r="61" spans="5:25" ht="15" customHeight="1" x14ac:dyDescent="0.25">
      <c r="E61" s="32"/>
      <c r="T61" s="225" t="s">
        <v>108</v>
      </c>
      <c r="W61" s="260">
        <f>Transactions!R6</f>
        <v>2572780.560000001</v>
      </c>
      <c r="X61" s="260"/>
      <c r="Y61" s="261"/>
    </row>
    <row r="62" spans="5:25" x14ac:dyDescent="0.25">
      <c r="E62" s="32"/>
      <c r="T62" s="225" t="s">
        <v>109</v>
      </c>
      <c r="X62" s="1">
        <f>COUNT('User Details'!A2:A4)</f>
        <v>3</v>
      </c>
      <c r="Y62" s="226"/>
    </row>
    <row r="63" spans="5:25" x14ac:dyDescent="0.25">
      <c r="E63" s="32"/>
      <c r="T63" s="225" t="s">
        <v>110</v>
      </c>
      <c r="X63" s="1">
        <f>COUNT('User Details'!A5:A51)</f>
        <v>46</v>
      </c>
      <c r="Y63" s="226"/>
    </row>
    <row r="64" spans="5:25" ht="15" thickBot="1" x14ac:dyDescent="0.3">
      <c r="E64" s="32"/>
      <c r="T64" s="227" t="s">
        <v>111</v>
      </c>
      <c r="U64" s="228"/>
      <c r="V64" s="228"/>
      <c r="W64" s="228"/>
      <c r="X64" s="228">
        <f>COUNT(Table8[transaction_number])</f>
        <v>282</v>
      </c>
      <c r="Y64" s="229"/>
    </row>
    <row r="67" spans="22:26" x14ac:dyDescent="0.25">
      <c r="V67" s="19"/>
      <c r="W67" s="19"/>
      <c r="X67" s="19"/>
    </row>
    <row r="68" spans="22:26" x14ac:dyDescent="0.25">
      <c r="V68" s="19"/>
      <c r="W68" s="19"/>
      <c r="X68" s="19"/>
    </row>
    <row r="69" spans="22:26" x14ac:dyDescent="0.25">
      <c r="Y69" s="19"/>
      <c r="Z69" s="19"/>
    </row>
    <row r="70" spans="22:26" x14ac:dyDescent="0.25">
      <c r="Y70" s="19"/>
      <c r="Z70" s="19"/>
    </row>
    <row r="71" spans="22:26" x14ac:dyDescent="0.25">
      <c r="Y71" s="19"/>
      <c r="Z71" s="19"/>
    </row>
    <row r="72" spans="22:26" x14ac:dyDescent="0.25">
      <c r="Y72" s="19"/>
      <c r="Z72" s="19"/>
    </row>
    <row r="73" spans="22:26" x14ac:dyDescent="0.25">
      <c r="Y73" s="19"/>
      <c r="Z73" s="19"/>
    </row>
    <row r="74" spans="22:26" x14ac:dyDescent="0.25">
      <c r="Y74" s="19"/>
      <c r="Z74" s="19"/>
    </row>
    <row r="75" spans="22:26" x14ac:dyDescent="0.25">
      <c r="Y75" s="19"/>
      <c r="Z75" s="19"/>
    </row>
    <row r="76" spans="22:26" x14ac:dyDescent="0.25">
      <c r="V76" s="19"/>
      <c r="W76" s="19"/>
      <c r="X76" s="19"/>
    </row>
    <row r="77" spans="22:26" x14ac:dyDescent="0.25">
      <c r="V77" s="19"/>
      <c r="W77" s="19"/>
      <c r="X77" s="19"/>
    </row>
    <row r="78" spans="22:26" x14ac:dyDescent="0.25">
      <c r="V78" s="19"/>
      <c r="W78" s="19"/>
      <c r="X78" s="19"/>
    </row>
    <row r="79" spans="22:26" x14ac:dyDescent="0.25">
      <c r="V79" s="19"/>
      <c r="W79" s="19"/>
      <c r="X79" s="19"/>
    </row>
    <row r="80" spans="22:26" x14ac:dyDescent="0.25">
      <c r="V80" s="19"/>
      <c r="W80" s="19"/>
      <c r="X80" s="19"/>
    </row>
    <row r="81" spans="13:24" x14ac:dyDescent="0.25">
      <c r="V81" s="19"/>
      <c r="W81" s="19"/>
      <c r="X81" s="19"/>
    </row>
    <row r="82" spans="13:24" x14ac:dyDescent="0.25">
      <c r="V82" s="19"/>
      <c r="W82" s="19"/>
      <c r="X82" s="19"/>
    </row>
    <row r="83" spans="13:24" x14ac:dyDescent="0.25">
      <c r="V83" s="19"/>
      <c r="W83" s="19"/>
      <c r="X83" s="19"/>
    </row>
    <row r="84" spans="13:24" x14ac:dyDescent="0.25">
      <c r="V84" s="19"/>
      <c r="W84" s="19"/>
      <c r="X84" s="19"/>
    </row>
    <row r="85" spans="13:24" x14ac:dyDescent="0.25">
      <c r="O85" s="21"/>
      <c r="V85" s="19"/>
      <c r="W85" s="19"/>
      <c r="X85" s="19"/>
    </row>
    <row r="86" spans="13:24" x14ac:dyDescent="0.25">
      <c r="O86" s="25"/>
      <c r="V86" s="19"/>
      <c r="W86" s="19"/>
      <c r="X86" s="19"/>
    </row>
    <row r="87" spans="13:24" x14ac:dyDescent="0.25">
      <c r="O87" s="26"/>
      <c r="V87" s="19"/>
      <c r="W87" s="19"/>
      <c r="X87" s="19"/>
    </row>
    <row r="88" spans="13:24" x14ac:dyDescent="0.25">
      <c r="V88" s="19"/>
      <c r="W88" s="19"/>
      <c r="X88" s="19"/>
    </row>
    <row r="89" spans="13:24" x14ac:dyDescent="0.25">
      <c r="V89" s="19"/>
      <c r="W89" s="19"/>
      <c r="X89" s="19"/>
    </row>
    <row r="90" spans="13:24" x14ac:dyDescent="0.25">
      <c r="V90" s="19"/>
      <c r="W90" s="19"/>
      <c r="X90" s="19"/>
    </row>
    <row r="91" spans="13:24" x14ac:dyDescent="0.25">
      <c r="M91" s="2"/>
      <c r="V91" s="19"/>
      <c r="W91" s="19"/>
      <c r="X91" s="19"/>
    </row>
    <row r="92" spans="13:24" x14ac:dyDescent="0.25">
      <c r="M92" s="2"/>
      <c r="V92" s="19"/>
      <c r="W92" s="19"/>
      <c r="X92" s="19"/>
    </row>
    <row r="93" spans="13:24" x14ac:dyDescent="0.25">
      <c r="M93" s="2"/>
      <c r="V93" s="19"/>
      <c r="W93" s="19"/>
      <c r="X93" s="19"/>
    </row>
    <row r="94" spans="13:24" x14ac:dyDescent="0.25">
      <c r="M94" s="2"/>
      <c r="V94" s="19"/>
      <c r="W94" s="19"/>
      <c r="X94" s="19"/>
    </row>
    <row r="95" spans="13:24" x14ac:dyDescent="0.25">
      <c r="M95" s="2"/>
      <c r="V95" s="19"/>
      <c r="W95" s="19"/>
      <c r="X95" s="19"/>
    </row>
    <row r="96" spans="13:24" x14ac:dyDescent="0.25">
      <c r="M96" s="2"/>
      <c r="V96" s="19"/>
      <c r="W96" s="19"/>
      <c r="X96" s="19"/>
    </row>
    <row r="97" spans="13:24" x14ac:dyDescent="0.25">
      <c r="M97" s="2"/>
      <c r="V97" s="19"/>
      <c r="W97" s="19"/>
      <c r="X97" s="19"/>
    </row>
    <row r="98" spans="13:24" x14ac:dyDescent="0.25">
      <c r="M98" s="2"/>
      <c r="V98" s="19"/>
      <c r="W98" s="19"/>
      <c r="X98" s="19"/>
    </row>
    <row r="99" spans="13:24" x14ac:dyDescent="0.25">
      <c r="M99" s="2"/>
      <c r="V99" s="19"/>
      <c r="W99" s="19"/>
      <c r="X99" s="19"/>
    </row>
    <row r="100" spans="13:24" x14ac:dyDescent="0.25">
      <c r="M100" s="2"/>
      <c r="V100" s="19"/>
      <c r="W100" s="19"/>
      <c r="X100" s="19"/>
    </row>
    <row r="101" spans="13:24" x14ac:dyDescent="0.25">
      <c r="V101" s="19"/>
      <c r="W101" s="19"/>
      <c r="X101" s="19"/>
    </row>
    <row r="102" spans="13:24" x14ac:dyDescent="0.25">
      <c r="V102" s="19"/>
      <c r="W102" s="19"/>
      <c r="X102" s="19"/>
    </row>
    <row r="103" spans="13:24" x14ac:dyDescent="0.25">
      <c r="V103" s="19"/>
      <c r="W103" s="19"/>
      <c r="X103" s="19"/>
    </row>
    <row r="104" spans="13:24" x14ac:dyDescent="0.25">
      <c r="M104" s="2"/>
      <c r="V104" s="19"/>
      <c r="W104" s="19"/>
      <c r="X104" s="19"/>
    </row>
    <row r="105" spans="13:24" x14ac:dyDescent="0.25">
      <c r="M105" s="2"/>
      <c r="V105" s="19"/>
      <c r="W105" s="19"/>
      <c r="X105" s="19"/>
    </row>
    <row r="106" spans="13:24" x14ac:dyDescent="0.25">
      <c r="M106" s="2"/>
      <c r="V106" s="19"/>
      <c r="W106" s="19"/>
      <c r="X106" s="19"/>
    </row>
    <row r="107" spans="13:24" x14ac:dyDescent="0.25">
      <c r="M107" s="2"/>
      <c r="V107" s="19"/>
      <c r="W107" s="19"/>
      <c r="X107" s="19"/>
    </row>
    <row r="108" spans="13:24" x14ac:dyDescent="0.25">
      <c r="M108" s="2"/>
      <c r="V108" s="19"/>
      <c r="W108" s="19"/>
      <c r="X108" s="19"/>
    </row>
    <row r="109" spans="13:24" x14ac:dyDescent="0.25">
      <c r="M109" s="2"/>
      <c r="V109" s="19"/>
      <c r="W109" s="19"/>
      <c r="X109" s="19"/>
    </row>
    <row r="110" spans="13:24" x14ac:dyDescent="0.25">
      <c r="M110" s="2"/>
      <c r="V110" s="19"/>
      <c r="W110" s="19"/>
      <c r="X110" s="19"/>
    </row>
    <row r="111" spans="13:24" x14ac:dyDescent="0.25">
      <c r="M111" s="2"/>
      <c r="V111" s="19"/>
      <c r="W111" s="19"/>
      <c r="X111" s="19"/>
    </row>
    <row r="112" spans="13:24" x14ac:dyDescent="0.25">
      <c r="M112" s="2"/>
      <c r="V112" s="19"/>
      <c r="W112" s="19"/>
      <c r="X112" s="19"/>
    </row>
    <row r="113" spans="13:24" x14ac:dyDescent="0.25">
      <c r="M113" s="2"/>
      <c r="V113" s="19"/>
      <c r="W113" s="19"/>
      <c r="X113" s="19"/>
    </row>
    <row r="114" spans="13:24" x14ac:dyDescent="0.25">
      <c r="V114" s="19"/>
      <c r="W114" s="19"/>
      <c r="X114" s="19"/>
    </row>
    <row r="115" spans="13:24" x14ac:dyDescent="0.25">
      <c r="V115" s="19"/>
      <c r="W115" s="19"/>
      <c r="X115" s="19"/>
    </row>
  </sheetData>
  <sortState xmlns:xlrd2="http://schemas.microsoft.com/office/spreadsheetml/2017/richdata2" ref="T24:Z48">
    <sortCondition ref="Z24:Z48"/>
  </sortState>
  <mergeCells count="55">
    <mergeCell ref="T53:Y53"/>
    <mergeCell ref="W58:Y58"/>
    <mergeCell ref="W59:Y59"/>
    <mergeCell ref="W60:Y60"/>
    <mergeCell ref="W61:Y61"/>
    <mergeCell ref="C2:L2"/>
    <mergeCell ref="C7:L7"/>
    <mergeCell ref="T24:U24"/>
    <mergeCell ref="N2:P2"/>
    <mergeCell ref="G16:H16"/>
    <mergeCell ref="D16:E16"/>
    <mergeCell ref="G12:H12"/>
    <mergeCell ref="D12:E12"/>
    <mergeCell ref="T19:U19"/>
    <mergeCell ref="T20:U20"/>
    <mergeCell ref="T21:U21"/>
    <mergeCell ref="T22:U22"/>
    <mergeCell ref="T23:U23"/>
    <mergeCell ref="V37:W37"/>
    <mergeCell ref="V38:W38"/>
    <mergeCell ref="T39:U39"/>
    <mergeCell ref="V19:W19"/>
    <mergeCell ref="V20:W20"/>
    <mergeCell ref="V21:W21"/>
    <mergeCell ref="V22:W22"/>
    <mergeCell ref="V23:W23"/>
    <mergeCell ref="V24:W24"/>
    <mergeCell ref="V25:W25"/>
    <mergeCell ref="T34:U34"/>
    <mergeCell ref="T35:U35"/>
    <mergeCell ref="T36:U36"/>
    <mergeCell ref="T37:U37"/>
    <mergeCell ref="T38:U38"/>
    <mergeCell ref="T25:U25"/>
    <mergeCell ref="V34:W34"/>
    <mergeCell ref="V35:W35"/>
    <mergeCell ref="V36:W36"/>
    <mergeCell ref="X30:Y30"/>
    <mergeCell ref="X31:Y31"/>
    <mergeCell ref="T1:Y1"/>
    <mergeCell ref="X39:Y39"/>
    <mergeCell ref="X34:Y34"/>
    <mergeCell ref="X35:Y35"/>
    <mergeCell ref="X36:Y36"/>
    <mergeCell ref="X37:Y37"/>
    <mergeCell ref="X38:Y38"/>
    <mergeCell ref="V39:W39"/>
    <mergeCell ref="X19:Y19"/>
    <mergeCell ref="X20:Y20"/>
    <mergeCell ref="X21:Y21"/>
    <mergeCell ref="X22:Y22"/>
    <mergeCell ref="X23:Y23"/>
    <mergeCell ref="X24:Y24"/>
    <mergeCell ref="X25:Y25"/>
    <mergeCell ref="X32:Y32"/>
  </mergeCells>
  <conditionalFormatting sqref="A18:A30 A53:B60 A45:B49 A40:B41 B42:B43">
    <cfRule type="cellIs" dxfId="29" priority="84" operator="notBetween">
      <formula>-1</formula>
      <formula>100</formula>
    </cfRule>
    <cfRule type="cellIs" dxfId="28" priority="85" operator="equal">
      <formula>0</formula>
    </cfRule>
  </conditionalFormatting>
  <conditionalFormatting sqref="H6:I6">
    <cfRule type="expression" dxfId="27" priority="86">
      <formula>OR($I$3="Ronin",$I$3="GCash")</formula>
    </cfRule>
  </conditionalFormatting>
  <conditionalFormatting sqref="U2:U18">
    <cfRule type="aboveAverage" dxfId="26" priority="63" aboveAverage="0"/>
    <cfRule type="cellIs" dxfId="25" priority="64" operator="between">
      <formula>$I$14*1.25</formula>
      <formula>$I$14%*0.5</formula>
    </cfRule>
    <cfRule type="aboveAverage" dxfId="24" priority="65"/>
  </conditionalFormatting>
  <conditionalFormatting sqref="I13">
    <cfRule type="colorScale" priority="69">
      <colorScale>
        <cfvo type="min"/>
        <cfvo type="num" val="$I$14"/>
        <cfvo type="max"/>
        <color rgb="FFFF5353"/>
        <color rgb="FFED7D31"/>
        <color rgb="FF00B050"/>
      </colorScale>
    </cfRule>
  </conditionalFormatting>
  <conditionalFormatting sqref="W2:W18">
    <cfRule type="aboveAverage" dxfId="23" priority="15" aboveAverage="0"/>
    <cfRule type="cellIs" dxfId="22" priority="16" operator="between">
      <formula>$I$14*1.25</formula>
      <formula>$I$14%*0.5</formula>
    </cfRule>
    <cfRule type="aboveAverage" dxfId="21" priority="17"/>
  </conditionalFormatting>
  <conditionalFormatting sqref="Y2:Y18">
    <cfRule type="aboveAverage" dxfId="20" priority="12" aboveAverage="0"/>
    <cfRule type="cellIs" dxfId="19" priority="13" operator="between">
      <formula>$I$14*1.25</formula>
      <formula>$I$14%*0.5</formula>
    </cfRule>
    <cfRule type="aboveAverage" dxfId="18" priority="14"/>
  </conditionalFormatting>
  <conditionalFormatting sqref="K13">
    <cfRule type="colorScale" priority="11">
      <colorScale>
        <cfvo type="min"/>
        <cfvo type="num" val="$I$14"/>
        <cfvo type="max"/>
        <color rgb="FFFF5353"/>
        <color rgb="FFED7D31"/>
        <color rgb="FF00B050"/>
      </colorScale>
    </cfRule>
  </conditionalFormatting>
  <conditionalFormatting sqref="H13:H14">
    <cfRule type="expression" dxfId="17" priority="10">
      <formula>$G$14="·"</formula>
    </cfRule>
  </conditionalFormatting>
  <conditionalFormatting sqref="P3:P22">
    <cfRule type="containsText" dxfId="16" priority="9" operator="containsText" text="Overdue">
      <formula>NOT(ISERROR(SEARCH("Overdue",P3)))</formula>
    </cfRule>
  </conditionalFormatting>
  <conditionalFormatting sqref="H13:L14">
    <cfRule type="expression" dxfId="15" priority="8">
      <formula>$S$22="Yes"</formula>
    </cfRule>
  </conditionalFormatting>
  <conditionalFormatting sqref="G16:H16">
    <cfRule type="expression" dxfId="14" priority="7">
      <formula>$S$22="Yes"</formula>
    </cfRule>
  </conditionalFormatting>
  <conditionalFormatting sqref="I17:L39">
    <cfRule type="expression" dxfId="13" priority="6">
      <formula>$S$22="Yes"</formula>
    </cfRule>
  </conditionalFormatting>
  <conditionalFormatting sqref="G12:H12">
    <cfRule type="expression" dxfId="12" priority="5">
      <formula>$S$22="Yes"</formula>
    </cfRule>
  </conditionalFormatting>
  <conditionalFormatting sqref="D12:E12">
    <cfRule type="expression" dxfId="11" priority="4">
      <formula>$S$22="No"</formula>
    </cfRule>
  </conditionalFormatting>
  <conditionalFormatting sqref="D16:E16">
    <cfRule type="expression" dxfId="10" priority="3">
      <formula>$S$22="No"</formula>
    </cfRule>
  </conditionalFormatting>
  <conditionalFormatting sqref="H39 J39 L39">
    <cfRule type="expression" dxfId="9" priority="2">
      <formula>$S$22="Yes"</formula>
    </cfRule>
  </conditionalFormatting>
  <conditionalFormatting sqref="T53">
    <cfRule type="expression" dxfId="8" priority="1">
      <formula>$S$22="Yes"</formula>
    </cfRule>
  </conditionalFormatting>
  <pageMargins left="0.7" right="0.7" top="0.75" bottom="0.75" header="0.3" footer="0.3"/>
  <pageSetup orientation="portrait" r:id="rId1"/>
  <ignoredErrors>
    <ignoredError sqref="F14 X62:X63" formulaRange="1"/>
  </ignoredErrors>
  <drawing r:id="rId2"/>
  <legacy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AD01C-A9E4-46DA-9B54-15E4D223A0E5}">
  <sheetPr codeName="Sheet2"/>
  <dimension ref="A1:T80"/>
  <sheetViews>
    <sheetView zoomScaleNormal="100" workbookViewId="0">
      <pane ySplit="1" topLeftCell="A2" activePane="bottomLeft" state="frozen"/>
      <selection activeCell="J1" sqref="J1"/>
      <selection pane="bottomLeft" activeCell="C35" sqref="C35"/>
    </sheetView>
  </sheetViews>
  <sheetFormatPr defaultRowHeight="16.5" x14ac:dyDescent="0.25"/>
  <cols>
    <col min="1" max="1" width="17.28515625" style="5" bestFit="1" customWidth="1"/>
    <col min="2" max="2" width="18.7109375" style="5" bestFit="1" customWidth="1"/>
    <col min="3" max="3" width="17.42578125" style="5" bestFit="1" customWidth="1"/>
    <col min="4" max="4" width="10.7109375" style="5" bestFit="1" customWidth="1"/>
    <col min="5" max="5" width="13.42578125" style="5" bestFit="1" customWidth="1"/>
    <col min="6" max="6" width="20.42578125" style="5" bestFit="1" customWidth="1"/>
    <col min="7" max="7" width="27.7109375" style="5" bestFit="1" customWidth="1"/>
    <col min="8" max="8" width="18.7109375" style="5" bestFit="1" customWidth="1"/>
    <col min="9" max="9" width="15.42578125" style="7" bestFit="1" customWidth="1"/>
    <col min="10" max="10" width="16.7109375" style="5" bestFit="1" customWidth="1"/>
    <col min="11" max="11" width="21.28515625" style="5" bestFit="1" customWidth="1"/>
    <col min="12" max="12" width="25.5703125" style="5" bestFit="1" customWidth="1"/>
    <col min="13" max="13" width="16.42578125" style="7" bestFit="1" customWidth="1"/>
    <col min="14" max="14" width="15.28515625" style="5" bestFit="1" customWidth="1"/>
    <col min="15" max="15" width="13.5703125" style="5" bestFit="1" customWidth="1"/>
    <col min="16" max="16" width="19.42578125" style="5" bestFit="1" customWidth="1"/>
    <col min="17" max="17" width="18.140625" style="5" bestFit="1" customWidth="1"/>
    <col min="18" max="18" width="47.7109375" style="5" bestFit="1" customWidth="1"/>
    <col min="19" max="19" width="89.42578125" style="5" customWidth="1"/>
    <col min="20" max="16384" width="9.140625" style="5"/>
  </cols>
  <sheetData>
    <row r="1" spans="1:20" ht="18" thickBot="1" x14ac:dyDescent="0.35">
      <c r="A1" s="247" t="s">
        <v>112</v>
      </c>
      <c r="B1" s="247" t="s">
        <v>113</v>
      </c>
      <c r="C1" s="247" t="s">
        <v>114</v>
      </c>
      <c r="D1" s="247" t="s">
        <v>115</v>
      </c>
      <c r="E1" s="247" t="s">
        <v>116</v>
      </c>
      <c r="F1" s="247" t="s">
        <v>281</v>
      </c>
      <c r="G1" s="247" t="s">
        <v>117</v>
      </c>
      <c r="H1" s="247" t="s">
        <v>118</v>
      </c>
      <c r="I1" s="247" t="s">
        <v>119</v>
      </c>
      <c r="J1" s="247" t="s">
        <v>120</v>
      </c>
      <c r="K1" s="247" t="s">
        <v>121</v>
      </c>
      <c r="L1" s="247" t="s">
        <v>122</v>
      </c>
      <c r="M1" s="247" t="s">
        <v>123</v>
      </c>
      <c r="N1" s="247" t="s">
        <v>124</v>
      </c>
      <c r="O1" s="247" t="s">
        <v>125</v>
      </c>
      <c r="P1" s="247" t="s">
        <v>126</v>
      </c>
      <c r="Q1" s="247" t="s">
        <v>127</v>
      </c>
      <c r="R1" s="247" t="s">
        <v>128</v>
      </c>
      <c r="S1" s="247" t="s">
        <v>129</v>
      </c>
    </row>
    <row r="2" spans="1:20" ht="17.25" thickTop="1" x14ac:dyDescent="0.25">
      <c r="A2" s="47">
        <v>1</v>
      </c>
      <c r="B2" s="1" t="s">
        <v>5</v>
      </c>
      <c r="C2" s="1" t="s">
        <v>130</v>
      </c>
      <c r="D2" s="1" t="s">
        <v>131</v>
      </c>
      <c r="E2" s="1" t="str">
        <f ca="1">_xlfn.CONCAT(B2,"#",RANDBETWEEN(1000,9999))</f>
        <v>Raze#3955</v>
      </c>
      <c r="F2" s="76">
        <f t="shared" ref="F2:F33" ca="1" si="0">RANDBETWEEN(9000000000,9999999999)</f>
        <v>9359737299</v>
      </c>
      <c r="G2" s="131" t="str">
        <f t="shared" ref="G2:G33" si="1">LOWER(_xlfn.CONCAT(B2,".",TRIM(N2),"@gmail.com"))</f>
        <v>raze.libangguild@gmail.com</v>
      </c>
      <c r="H2" s="131" t="str">
        <f ca="1">CHAR(RANDBETWEEN(65,90))&amp;RANDBETWEEN(0,9)&amp;CHAR(RANDBETWEEN(97,122))&amp;CHAR(RANDBETWEEN(97,122))&amp;CHAR(RANDBETWEEN(65,90))&amp;RANDBETWEEN(0,9)&amp;CHAR(RANDBETWEEN(65,90))&amp;RANDBETWEEN(0,9)</f>
        <v>M9mkY8J5</v>
      </c>
      <c r="I2" s="2" t="s">
        <v>132</v>
      </c>
      <c r="J2" s="3">
        <v>44370</v>
      </c>
      <c r="K2" s="132">
        <f xml:space="preserve"> _xlfn.XLOOKUP(B2,Transactions!$B$2:$B$301,Transactions!$D$2:$D$301,"Not Found",,-1)</f>
        <v>44575</v>
      </c>
      <c r="L2" s="1">
        <v>14</v>
      </c>
      <c r="M2" s="1" t="str">
        <f ca="1">E2</f>
        <v>Raze#3955</v>
      </c>
      <c r="N2" s="1" t="s">
        <v>133</v>
      </c>
      <c r="O2" s="1">
        <v>1</v>
      </c>
      <c r="P2" s="1">
        <v>0</v>
      </c>
      <c r="Q2" s="1">
        <v>0</v>
      </c>
      <c r="R2" s="1" t="s">
        <v>134</v>
      </c>
      <c r="S2" s="133" t="s">
        <v>135</v>
      </c>
      <c r="T2" s="6"/>
    </row>
    <row r="3" spans="1:20" x14ac:dyDescent="0.25">
      <c r="A3" s="47">
        <v>2</v>
      </c>
      <c r="B3" s="1" t="s">
        <v>11</v>
      </c>
      <c r="C3" s="1" t="s">
        <v>136</v>
      </c>
      <c r="D3" s="1" t="s">
        <v>137</v>
      </c>
      <c r="E3" s="1" t="str">
        <f t="shared" ref="E3:E50" ca="1" si="2">_xlfn.CONCAT(B3,"#",RANDBETWEEN(1000,9999))</f>
        <v>Saksa#5388</v>
      </c>
      <c r="F3" s="76">
        <f t="shared" ca="1" si="0"/>
        <v>9455402002</v>
      </c>
      <c r="G3" s="131" t="str">
        <f t="shared" si="1"/>
        <v>saksa.libangguild@gmail.com</v>
      </c>
      <c r="H3" s="131" t="str">
        <f t="shared" ref="H3:H50" ca="1" si="3">CHAR(RANDBETWEEN(65,90))&amp;RANDBETWEEN(0,9)&amp;CHAR(RANDBETWEEN(97,122))&amp;CHAR(RANDBETWEEN(97,122))&amp;CHAR(RANDBETWEEN(65,90))&amp;RANDBETWEEN(0,9)&amp;CHAR(RANDBETWEEN(65,90))&amp;RANDBETWEEN(0,9)</f>
        <v>X2esP1P7</v>
      </c>
      <c r="I3" s="2" t="s">
        <v>138</v>
      </c>
      <c r="J3" s="3">
        <v>44377</v>
      </c>
      <c r="K3" s="132">
        <f xml:space="preserve"> _xlfn.XLOOKUP(B3,Transactions!$B$2:$B$301,Transactions!$D$2:$D$301,"Not Found",,-1)</f>
        <v>44530</v>
      </c>
      <c r="L3" s="1">
        <v>14</v>
      </c>
      <c r="M3" s="1" t="str">
        <f ca="1">E3</f>
        <v>Saksa#5388</v>
      </c>
      <c r="N3" s="1" t="s">
        <v>133</v>
      </c>
      <c r="O3" s="1">
        <v>1</v>
      </c>
      <c r="P3" s="1">
        <v>0</v>
      </c>
      <c r="Q3" s="1">
        <v>0</v>
      </c>
      <c r="R3" s="1" t="s">
        <v>139</v>
      </c>
      <c r="S3" s="133" t="s">
        <v>140</v>
      </c>
      <c r="T3" s="6"/>
    </row>
    <row r="4" spans="1:20" x14ac:dyDescent="0.25">
      <c r="A4" s="47">
        <v>3</v>
      </c>
      <c r="B4" s="134" t="s">
        <v>17</v>
      </c>
      <c r="C4" s="1" t="s">
        <v>141</v>
      </c>
      <c r="D4" s="1" t="s">
        <v>131</v>
      </c>
      <c r="E4" s="1" t="str">
        <f t="shared" ca="1" si="2"/>
        <v>Timado#4044</v>
      </c>
      <c r="F4" s="76">
        <f t="shared" ca="1" si="0"/>
        <v>9410452818</v>
      </c>
      <c r="G4" s="131" t="str">
        <f t="shared" si="1"/>
        <v>timado.libangguild@gmail.com</v>
      </c>
      <c r="H4" s="131" t="str">
        <f t="shared" ca="1" si="3"/>
        <v>P6hiS6I5</v>
      </c>
      <c r="I4" s="2" t="s">
        <v>138</v>
      </c>
      <c r="J4" s="3">
        <v>44385</v>
      </c>
      <c r="K4" s="132">
        <f xml:space="preserve"> _xlfn.XLOOKUP(B4,Transactions!$B$2:$B$301,Transactions!$D$2:$D$301,"Not Found",,-1)</f>
        <v>44529</v>
      </c>
      <c r="L4" s="1">
        <v>14</v>
      </c>
      <c r="M4" s="1" t="str">
        <f ca="1">E4</f>
        <v>Timado#4044</v>
      </c>
      <c r="N4" s="1" t="s">
        <v>133</v>
      </c>
      <c r="O4" s="1">
        <v>1</v>
      </c>
      <c r="P4" s="1">
        <v>0</v>
      </c>
      <c r="Q4" s="1">
        <v>0</v>
      </c>
      <c r="R4" s="1" t="s">
        <v>142</v>
      </c>
      <c r="S4" s="135" t="s">
        <v>143</v>
      </c>
      <c r="T4" s="6"/>
    </row>
    <row r="5" spans="1:20" x14ac:dyDescent="0.25">
      <c r="A5" s="47">
        <v>4</v>
      </c>
      <c r="B5" s="1" t="s">
        <v>23</v>
      </c>
      <c r="C5" s="1" t="s">
        <v>144</v>
      </c>
      <c r="D5" s="1" t="s">
        <v>131</v>
      </c>
      <c r="E5" s="1" t="str">
        <f t="shared" ca="1" si="2"/>
        <v>Tims#3679</v>
      </c>
      <c r="F5" s="76">
        <f t="shared" ca="1" si="0"/>
        <v>9677946481</v>
      </c>
      <c r="G5" s="131" t="str">
        <f t="shared" si="1"/>
        <v>tims.johnsonco@gmail.com</v>
      </c>
      <c r="H5" s="131" t="str">
        <f t="shared" ca="1" si="3"/>
        <v>Y6wtG7V9</v>
      </c>
      <c r="I5" s="136" t="s">
        <v>145</v>
      </c>
      <c r="J5" s="3">
        <v>44550</v>
      </c>
      <c r="K5" s="132">
        <f xml:space="preserve"> _xlfn.XLOOKUP(B5,Transactions!$B$2:$B$301,Transactions!$D$2:$D$301,"Not Found",,-1)</f>
        <v>44577</v>
      </c>
      <c r="L5" s="1">
        <v>14</v>
      </c>
      <c r="M5" s="1" t="s">
        <v>146</v>
      </c>
      <c r="N5" s="1" t="s">
        <v>147</v>
      </c>
      <c r="O5" s="1">
        <v>0.37</v>
      </c>
      <c r="P5" s="1">
        <v>0.03</v>
      </c>
      <c r="Q5" s="1">
        <v>0.6</v>
      </c>
      <c r="R5" s="1" t="s">
        <v>148</v>
      </c>
      <c r="S5" s="133" t="s">
        <v>149</v>
      </c>
      <c r="T5" s="6"/>
    </row>
    <row r="6" spans="1:20" x14ac:dyDescent="0.25">
      <c r="A6" s="47">
        <v>5</v>
      </c>
      <c r="B6" s="1" t="s">
        <v>27</v>
      </c>
      <c r="C6" s="1" t="s">
        <v>150</v>
      </c>
      <c r="D6" s="1" t="s">
        <v>137</v>
      </c>
      <c r="E6" s="1" t="str">
        <f t="shared" ca="1" si="2"/>
        <v>Sam#7667</v>
      </c>
      <c r="F6" s="76">
        <f t="shared" ca="1" si="0"/>
        <v>9632084780</v>
      </c>
      <c r="G6" s="131" t="str">
        <f t="shared" si="1"/>
        <v>sam.grandsn@gmail.com</v>
      </c>
      <c r="H6" s="131" t="str">
        <f t="shared" ca="1" si="3"/>
        <v>F4umA9J1</v>
      </c>
      <c r="I6" s="2" t="s">
        <v>145</v>
      </c>
      <c r="J6" s="3">
        <v>44401</v>
      </c>
      <c r="K6" s="132">
        <f xml:space="preserve"> _xlfn.XLOOKUP(B6,Transactions!$B$2:$B$301,Transactions!$D$2:$D$301,"Not Found",,-1)</f>
        <v>44435</v>
      </c>
      <c r="L6" s="1">
        <v>30</v>
      </c>
      <c r="M6" s="1" t="s">
        <v>151</v>
      </c>
      <c r="N6" s="1" t="s">
        <v>152</v>
      </c>
      <c r="O6" s="1">
        <v>0.45</v>
      </c>
      <c r="P6" s="1">
        <v>0.05</v>
      </c>
      <c r="Q6" s="1">
        <v>0.5</v>
      </c>
      <c r="R6" s="1" t="s">
        <v>153</v>
      </c>
      <c r="S6" s="135" t="s">
        <v>154</v>
      </c>
      <c r="T6" s="6"/>
    </row>
    <row r="7" spans="1:20" x14ac:dyDescent="0.25">
      <c r="A7" s="47">
        <v>6</v>
      </c>
      <c r="B7" s="1" t="s">
        <v>31</v>
      </c>
      <c r="C7" s="1" t="s">
        <v>155</v>
      </c>
      <c r="D7" s="1" t="s">
        <v>131</v>
      </c>
      <c r="E7" s="1" t="str">
        <f t="shared" ca="1" si="2"/>
        <v>Mania#3536</v>
      </c>
      <c r="F7" s="76">
        <f t="shared" ca="1" si="0"/>
        <v>9334234558</v>
      </c>
      <c r="G7" s="131" t="str">
        <f t="shared" si="1"/>
        <v>mania.roma@gmail.com</v>
      </c>
      <c r="H7" s="131" t="str">
        <f t="shared" ca="1" si="3"/>
        <v>E1asR2H5</v>
      </c>
      <c r="I7" s="2" t="s">
        <v>74</v>
      </c>
      <c r="J7" s="3">
        <v>44560</v>
      </c>
      <c r="K7" s="132">
        <f xml:space="preserve"> _xlfn.XLOOKUP(B7,Transactions!$B$2:$B$301,Transactions!$D$2:$D$301,"Not Found",,-1)</f>
        <v>44574</v>
      </c>
      <c r="L7" s="1">
        <v>18</v>
      </c>
      <c r="M7" s="1" t="s">
        <v>156</v>
      </c>
      <c r="N7" s="1" t="s">
        <v>157</v>
      </c>
      <c r="O7" s="1">
        <v>0.35</v>
      </c>
      <c r="P7" s="1">
        <v>0.05</v>
      </c>
      <c r="Q7" s="1">
        <v>0.6</v>
      </c>
      <c r="R7" s="1" t="s">
        <v>158</v>
      </c>
      <c r="S7" s="135" t="s">
        <v>159</v>
      </c>
      <c r="T7" s="6"/>
    </row>
    <row r="8" spans="1:20" x14ac:dyDescent="0.25">
      <c r="A8" s="47">
        <v>7</v>
      </c>
      <c r="B8" s="1" t="s">
        <v>36</v>
      </c>
      <c r="C8" s="1" t="s">
        <v>160</v>
      </c>
      <c r="D8" s="1" t="s">
        <v>137</v>
      </c>
      <c r="E8" s="1" t="str">
        <f t="shared" ca="1" si="2"/>
        <v>Hao#9593</v>
      </c>
      <c r="F8" s="76">
        <f t="shared" ca="1" si="0"/>
        <v>9253976376</v>
      </c>
      <c r="G8" s="131" t="str">
        <f t="shared" si="1"/>
        <v>hao.johnsonco@gmail.com</v>
      </c>
      <c r="H8" s="131" t="str">
        <f t="shared" ca="1" si="3"/>
        <v>B7iyT4J3</v>
      </c>
      <c r="I8" s="2" t="s">
        <v>47</v>
      </c>
      <c r="J8" s="3">
        <v>44425</v>
      </c>
      <c r="K8" s="132">
        <f xml:space="preserve"> _xlfn.XLOOKUP(B8,Transactions!$B$2:$B$301,Transactions!$D$2:$D$301,"Not Found",,-1)</f>
        <v>44545</v>
      </c>
      <c r="L8" s="1">
        <v>14</v>
      </c>
      <c r="M8" s="1" t="s">
        <v>146</v>
      </c>
      <c r="N8" s="1" t="s">
        <v>147</v>
      </c>
      <c r="O8" s="1">
        <v>0.35</v>
      </c>
      <c r="P8" s="1">
        <v>0.15</v>
      </c>
      <c r="Q8" s="1">
        <v>0.5</v>
      </c>
      <c r="R8" s="1" t="s">
        <v>161</v>
      </c>
      <c r="S8" s="135" t="s">
        <v>162</v>
      </c>
      <c r="T8" s="6"/>
    </row>
    <row r="9" spans="1:20" x14ac:dyDescent="0.25">
      <c r="A9" s="47">
        <v>8</v>
      </c>
      <c r="B9" s="1" t="s">
        <v>41</v>
      </c>
      <c r="C9" s="1" t="s">
        <v>163</v>
      </c>
      <c r="D9" s="1" t="s">
        <v>131</v>
      </c>
      <c r="E9" s="1" t="str">
        <f t="shared" ca="1" si="2"/>
        <v>Fenrir#3826</v>
      </c>
      <c r="F9" s="76">
        <f t="shared" ca="1" si="0"/>
        <v>9445638995</v>
      </c>
      <c r="G9" s="131" t="str">
        <f t="shared" si="1"/>
        <v>fenrir.inabstensia@gmail.com</v>
      </c>
      <c r="H9" s="131" t="str">
        <f t="shared" ca="1" si="3"/>
        <v>E6jlV3N7</v>
      </c>
      <c r="I9" s="136" t="s">
        <v>145</v>
      </c>
      <c r="J9" s="3">
        <v>44422</v>
      </c>
      <c r="K9" s="132">
        <f xml:space="preserve"> _xlfn.XLOOKUP(B9,Transactions!$B$2:$B$301,Transactions!$D$2:$D$301,"Not Found",,-1)</f>
        <v>44579</v>
      </c>
      <c r="L9" s="1">
        <v>14</v>
      </c>
      <c r="M9" s="1" t="s">
        <v>164</v>
      </c>
      <c r="N9" s="1" t="s">
        <v>165</v>
      </c>
      <c r="O9" s="1">
        <v>0.4</v>
      </c>
      <c r="P9" s="1">
        <v>0.1</v>
      </c>
      <c r="Q9" s="1">
        <v>0.5</v>
      </c>
      <c r="R9" s="1" t="s">
        <v>166</v>
      </c>
      <c r="S9" s="135" t="s">
        <v>167</v>
      </c>
      <c r="T9" s="6"/>
    </row>
    <row r="10" spans="1:20" x14ac:dyDescent="0.25">
      <c r="A10" s="47">
        <v>9</v>
      </c>
      <c r="B10" s="1" t="s">
        <v>46</v>
      </c>
      <c r="C10" s="1" t="s">
        <v>168</v>
      </c>
      <c r="D10" s="1" t="s">
        <v>131</v>
      </c>
      <c r="E10" s="1" t="str">
        <f t="shared" ca="1" si="2"/>
        <v>Borax#3950</v>
      </c>
      <c r="F10" s="76">
        <f t="shared" ca="1" si="0"/>
        <v>9065113362</v>
      </c>
      <c r="G10" s="131" t="str">
        <f t="shared" si="1"/>
        <v>borax.libang guild@gmail.com</v>
      </c>
      <c r="H10" s="131" t="str">
        <f t="shared" ca="1" si="3"/>
        <v>O0rvZ2P0</v>
      </c>
      <c r="I10" s="136" t="s">
        <v>145</v>
      </c>
      <c r="J10" s="3">
        <v>44394</v>
      </c>
      <c r="K10" s="132">
        <f xml:space="preserve"> _xlfn.XLOOKUP(B10,Transactions!$B$2:$B$301,Transactions!$D$2:$D$301,"Not Found",,-1)</f>
        <v>44578</v>
      </c>
      <c r="L10" s="1">
        <v>14</v>
      </c>
      <c r="M10" s="1" t="str">
        <f ca="1">E2</f>
        <v>Raze#3955</v>
      </c>
      <c r="N10" s="1" t="s">
        <v>0</v>
      </c>
      <c r="O10" s="1">
        <v>0.4</v>
      </c>
      <c r="P10" s="1">
        <v>0</v>
      </c>
      <c r="Q10" s="1">
        <v>0.6</v>
      </c>
      <c r="R10" s="1" t="s">
        <v>169</v>
      </c>
      <c r="S10" s="133" t="s">
        <v>170</v>
      </c>
      <c r="T10" s="6"/>
    </row>
    <row r="11" spans="1:20" x14ac:dyDescent="0.25">
      <c r="A11" s="47">
        <v>10</v>
      </c>
      <c r="B11" s="1" t="s">
        <v>51</v>
      </c>
      <c r="C11" s="1" t="s">
        <v>171</v>
      </c>
      <c r="D11" s="1" t="s">
        <v>137</v>
      </c>
      <c r="E11" s="1" t="str">
        <f t="shared" ca="1" si="2"/>
        <v>Allysa#7543</v>
      </c>
      <c r="F11" s="76">
        <f t="shared" ca="1" si="0"/>
        <v>9397031568</v>
      </c>
      <c r="G11" s="131" t="str">
        <f t="shared" si="1"/>
        <v>allysa.jziicorp@gmail.com</v>
      </c>
      <c r="H11" s="131" t="str">
        <f t="shared" ca="1" si="3"/>
        <v>R1rvT5L3</v>
      </c>
      <c r="I11" s="136" t="s">
        <v>17</v>
      </c>
      <c r="J11" s="3">
        <v>44550</v>
      </c>
      <c r="K11" s="132">
        <f xml:space="preserve"> _xlfn.XLOOKUP(B11,Transactions!$B$2:$B$301,Transactions!$D$2:$D$301,"Not Found",,-1)</f>
        <v>44575</v>
      </c>
      <c r="L11" s="1">
        <v>14</v>
      </c>
      <c r="M11" s="1" t="s">
        <v>172</v>
      </c>
      <c r="N11" s="1" t="s">
        <v>173</v>
      </c>
      <c r="O11" s="1">
        <v>0.27</v>
      </c>
      <c r="P11" s="1">
        <v>0.03</v>
      </c>
      <c r="Q11" s="1">
        <v>0.7</v>
      </c>
      <c r="R11" s="1" t="s">
        <v>174</v>
      </c>
      <c r="S11" s="133" t="s">
        <v>175</v>
      </c>
      <c r="T11" s="6"/>
    </row>
    <row r="12" spans="1:20" x14ac:dyDescent="0.25">
      <c r="A12" s="47">
        <v>11</v>
      </c>
      <c r="B12" s="1" t="s">
        <v>55</v>
      </c>
      <c r="C12" s="1" t="s">
        <v>176</v>
      </c>
      <c r="D12" s="1" t="s">
        <v>131</v>
      </c>
      <c r="E12" s="1" t="str">
        <f t="shared" ca="1" si="2"/>
        <v>Jogo#1019</v>
      </c>
      <c r="F12" s="76">
        <f t="shared" ca="1" si="0"/>
        <v>9289224438</v>
      </c>
      <c r="G12" s="131" t="str">
        <f t="shared" si="1"/>
        <v>jogo.libangguild@gmail.com</v>
      </c>
      <c r="H12" s="131" t="str">
        <f t="shared" ca="1" si="3"/>
        <v>J6quX8M4</v>
      </c>
      <c r="I12" s="136" t="s">
        <v>145</v>
      </c>
      <c r="J12" s="3">
        <v>44564</v>
      </c>
      <c r="K12" s="132">
        <f xml:space="preserve"> _xlfn.XLOOKUP(B12,Transactions!$B$2:$B$301,Transactions!$D$2:$D$301,"Not Found",,-1)</f>
        <v>44577</v>
      </c>
      <c r="L12" s="1">
        <v>14</v>
      </c>
      <c r="M12" s="1" t="str">
        <f ca="1">E2</f>
        <v>Raze#3955</v>
      </c>
      <c r="N12" s="1" t="s">
        <v>133</v>
      </c>
      <c r="O12" s="1">
        <v>0.4</v>
      </c>
      <c r="P12" s="1">
        <v>0</v>
      </c>
      <c r="Q12" s="1">
        <v>0.6</v>
      </c>
      <c r="R12" s="1" t="s">
        <v>169</v>
      </c>
      <c r="S12" s="135" t="s">
        <v>170</v>
      </c>
      <c r="T12" s="6"/>
    </row>
    <row r="13" spans="1:20" x14ac:dyDescent="0.25">
      <c r="A13" s="47">
        <v>12</v>
      </c>
      <c r="B13" s="1" t="s">
        <v>62</v>
      </c>
      <c r="C13" s="1" t="s">
        <v>177</v>
      </c>
      <c r="D13" s="1" t="s">
        <v>131</v>
      </c>
      <c r="E13" s="1" t="str">
        <f t="shared" ca="1" si="2"/>
        <v>Tavo#1080</v>
      </c>
      <c r="F13" s="76">
        <f t="shared" ca="1" si="0"/>
        <v>9881042716</v>
      </c>
      <c r="G13" s="131" t="str">
        <f t="shared" si="1"/>
        <v>tavo.libangguild@gmail.com</v>
      </c>
      <c r="H13" s="131" t="str">
        <f t="shared" ca="1" si="3"/>
        <v>K8cyX7U8</v>
      </c>
      <c r="I13" s="136" t="s">
        <v>17</v>
      </c>
      <c r="J13" s="3">
        <v>44550</v>
      </c>
      <c r="K13" s="132">
        <f xml:space="preserve"> _xlfn.XLOOKUP(B13,Transactions!$B$2:$B$301,Transactions!$D$2:$D$301,"Not Found",,-1)</f>
        <v>44577</v>
      </c>
      <c r="L13" s="1">
        <v>14</v>
      </c>
      <c r="M13" s="1" t="str">
        <f ca="1">E3</f>
        <v>Saksa#5388</v>
      </c>
      <c r="N13" s="1" t="s">
        <v>133</v>
      </c>
      <c r="O13" s="1">
        <v>0.4</v>
      </c>
      <c r="P13" s="1">
        <v>0</v>
      </c>
      <c r="Q13" s="1">
        <v>0.6</v>
      </c>
      <c r="R13" s="1" t="s">
        <v>178</v>
      </c>
      <c r="S13" s="135" t="s">
        <v>179</v>
      </c>
      <c r="T13" s="6"/>
    </row>
    <row r="14" spans="1:20" x14ac:dyDescent="0.25">
      <c r="A14" s="47">
        <v>13</v>
      </c>
      <c r="B14" s="1" t="s">
        <v>70</v>
      </c>
      <c r="C14" s="1" t="s">
        <v>180</v>
      </c>
      <c r="D14" s="1" t="s">
        <v>131</v>
      </c>
      <c r="E14" s="1" t="str">
        <f t="shared" ca="1" si="2"/>
        <v>Bulba#7775</v>
      </c>
      <c r="F14" s="76">
        <f t="shared" ca="1" si="0"/>
        <v>9940781432</v>
      </c>
      <c r="G14" s="131" t="str">
        <f t="shared" si="1"/>
        <v>bulba.libangguild@gmail.com</v>
      </c>
      <c r="H14" s="131" t="str">
        <f t="shared" ca="1" si="3"/>
        <v>G8iiW3C3</v>
      </c>
      <c r="I14" s="136" t="s">
        <v>145</v>
      </c>
      <c r="J14" s="3">
        <v>44497</v>
      </c>
      <c r="K14" s="132">
        <f xml:space="preserve"> _xlfn.XLOOKUP(B14,Transactions!$B$2:$B$301,Transactions!$D$2:$D$301,"Not Found",,-1)</f>
        <v>44577</v>
      </c>
      <c r="L14" s="1">
        <v>14</v>
      </c>
      <c r="M14" s="1" t="str">
        <f ca="1">E2</f>
        <v>Raze#3955</v>
      </c>
      <c r="N14" s="1" t="s">
        <v>133</v>
      </c>
      <c r="O14" s="1">
        <v>0.4</v>
      </c>
      <c r="P14" s="1">
        <v>0</v>
      </c>
      <c r="Q14" s="1">
        <v>0.6</v>
      </c>
      <c r="R14" s="1" t="s">
        <v>181</v>
      </c>
      <c r="S14" s="133" t="s">
        <v>182</v>
      </c>
      <c r="T14" s="6"/>
    </row>
    <row r="15" spans="1:20" x14ac:dyDescent="0.25">
      <c r="A15" s="47">
        <v>14</v>
      </c>
      <c r="B15" s="1" t="s">
        <v>74</v>
      </c>
      <c r="C15" s="1" t="s">
        <v>183</v>
      </c>
      <c r="D15" s="1" t="s">
        <v>137</v>
      </c>
      <c r="E15" s="1" t="str">
        <f t="shared" ca="1" si="2"/>
        <v>Arise#7991</v>
      </c>
      <c r="F15" s="76">
        <f t="shared" ca="1" si="0"/>
        <v>9856260093</v>
      </c>
      <c r="G15" s="131" t="str">
        <f t="shared" si="1"/>
        <v>arise.baba@gmail.com</v>
      </c>
      <c r="H15" s="131" t="str">
        <f t="shared" ca="1" si="3"/>
        <v>D9pgV7V9</v>
      </c>
      <c r="I15" s="136" t="s">
        <v>91</v>
      </c>
      <c r="J15" s="3">
        <v>44381</v>
      </c>
      <c r="K15" s="132">
        <f xml:space="preserve"> _xlfn.XLOOKUP(B15,Transactions!$B$2:$B$301,Transactions!$D$2:$D$301,"Not Found",,-1)</f>
        <v>44565</v>
      </c>
      <c r="L15" s="1">
        <v>30</v>
      </c>
      <c r="M15" s="1" t="s">
        <v>184</v>
      </c>
      <c r="N15" s="1" t="s">
        <v>185</v>
      </c>
      <c r="O15" s="1">
        <v>0.37</v>
      </c>
      <c r="P15" s="1">
        <v>0.13</v>
      </c>
      <c r="Q15" s="1">
        <v>0.5</v>
      </c>
      <c r="R15" s="1" t="s">
        <v>186</v>
      </c>
      <c r="S15" s="135" t="s">
        <v>187</v>
      </c>
      <c r="T15" s="6"/>
    </row>
    <row r="16" spans="1:20" x14ac:dyDescent="0.25">
      <c r="A16" s="47">
        <v>15</v>
      </c>
      <c r="B16" s="1" t="s">
        <v>78</v>
      </c>
      <c r="C16" s="1" t="s">
        <v>188</v>
      </c>
      <c r="D16" s="1" t="s">
        <v>131</v>
      </c>
      <c r="E16" s="1" t="str">
        <f t="shared" ca="1" si="2"/>
        <v>Mane#5173</v>
      </c>
      <c r="F16" s="76">
        <f t="shared" ca="1" si="0"/>
        <v>9783970203</v>
      </c>
      <c r="G16" s="131" t="str">
        <f t="shared" si="1"/>
        <v>mane.johnsonco@gmail.com</v>
      </c>
      <c r="H16" s="131" t="str">
        <f t="shared" ca="1" si="3"/>
        <v>C7zrC4W0</v>
      </c>
      <c r="I16" s="136" t="s">
        <v>145</v>
      </c>
      <c r="J16" s="3">
        <v>44550</v>
      </c>
      <c r="K16" s="132">
        <f xml:space="preserve"> _xlfn.XLOOKUP(B16,Transactions!$B$2:$B$301,Transactions!$D$2:$D$301,"Not Found",,-1)</f>
        <v>44576</v>
      </c>
      <c r="L16" s="1">
        <v>14</v>
      </c>
      <c r="M16" s="1" t="s">
        <v>146</v>
      </c>
      <c r="N16" s="1" t="s">
        <v>147</v>
      </c>
      <c r="O16" s="1">
        <v>0.4</v>
      </c>
      <c r="P16" s="1">
        <v>0.1</v>
      </c>
      <c r="Q16" s="1">
        <v>0.5</v>
      </c>
      <c r="R16" s="1" t="s">
        <v>189</v>
      </c>
      <c r="S16" s="135" t="s">
        <v>190</v>
      </c>
      <c r="T16" s="6"/>
    </row>
    <row r="17" spans="1:20" x14ac:dyDescent="0.25">
      <c r="A17" s="47">
        <v>16</v>
      </c>
      <c r="B17" s="1" t="s">
        <v>90</v>
      </c>
      <c r="C17" s="1" t="s">
        <v>191</v>
      </c>
      <c r="D17" s="1" t="s">
        <v>131</v>
      </c>
      <c r="E17" s="1" t="str">
        <f t="shared" ca="1" si="2"/>
        <v>Canto#6747</v>
      </c>
      <c r="F17" s="76">
        <f t="shared" ca="1" si="0"/>
        <v>9349625110</v>
      </c>
      <c r="G17" s="131" t="str">
        <f t="shared" si="1"/>
        <v>canto.jziicorp@gmail.com</v>
      </c>
      <c r="H17" s="131" t="str">
        <f t="shared" ca="1" si="3"/>
        <v>T1eaY4D2</v>
      </c>
      <c r="I17" s="136" t="s">
        <v>145</v>
      </c>
      <c r="J17" s="3">
        <v>44387</v>
      </c>
      <c r="K17" s="132">
        <f xml:space="preserve"> _xlfn.XLOOKUP(B17,Transactions!$B$2:$B$301,Transactions!$D$2:$D$301,"Not Found",,-1)</f>
        <v>44564</v>
      </c>
      <c r="L17" s="1">
        <v>30</v>
      </c>
      <c r="M17" s="1" t="s">
        <v>172</v>
      </c>
      <c r="N17" s="1" t="s">
        <v>173</v>
      </c>
      <c r="O17" s="1">
        <v>0.5</v>
      </c>
      <c r="P17" s="1">
        <v>0</v>
      </c>
      <c r="Q17" s="1">
        <v>0.5</v>
      </c>
      <c r="R17" s="1" t="s">
        <v>192</v>
      </c>
      <c r="S17" s="133" t="s">
        <v>193</v>
      </c>
      <c r="T17" s="6"/>
    </row>
    <row r="18" spans="1:20" x14ac:dyDescent="0.25">
      <c r="A18" s="47">
        <v>17</v>
      </c>
      <c r="B18" s="1" t="s">
        <v>92</v>
      </c>
      <c r="C18" s="1" t="s">
        <v>194</v>
      </c>
      <c r="D18" s="1" t="s">
        <v>131</v>
      </c>
      <c r="E18" s="1" t="str">
        <f t="shared" ca="1" si="2"/>
        <v>Wrath#2195</v>
      </c>
      <c r="F18" s="76">
        <f t="shared" ca="1" si="0"/>
        <v>9884978375</v>
      </c>
      <c r="G18" s="131" t="str">
        <f t="shared" si="1"/>
        <v>wrath.johnsonco@gmail.com</v>
      </c>
      <c r="H18" s="131" t="str">
        <f t="shared" ca="1" si="3"/>
        <v>U6vbJ9K0</v>
      </c>
      <c r="I18" s="2" t="s">
        <v>90</v>
      </c>
      <c r="J18" s="3">
        <v>44409</v>
      </c>
      <c r="K18" s="132">
        <f xml:space="preserve"> _xlfn.XLOOKUP(B18,Transactions!$B$2:$B$301,Transactions!$D$2:$D$301,"Not Found",,-1)</f>
        <v>44535</v>
      </c>
      <c r="L18" s="1">
        <v>14</v>
      </c>
      <c r="M18" s="1" t="s">
        <v>146</v>
      </c>
      <c r="N18" s="1" t="s">
        <v>147</v>
      </c>
      <c r="O18" s="1">
        <v>0.35</v>
      </c>
      <c r="P18" s="1">
        <v>0.15</v>
      </c>
      <c r="Q18" s="1">
        <v>0.5</v>
      </c>
      <c r="R18" s="1" t="s">
        <v>195</v>
      </c>
      <c r="S18" s="133" t="s">
        <v>196</v>
      </c>
      <c r="T18" s="6"/>
    </row>
    <row r="19" spans="1:20" x14ac:dyDescent="0.25">
      <c r="A19" s="47">
        <v>18</v>
      </c>
      <c r="B19" s="1" t="s">
        <v>6</v>
      </c>
      <c r="C19" s="1" t="s">
        <v>197</v>
      </c>
      <c r="D19" s="1" t="s">
        <v>137</v>
      </c>
      <c r="E19" s="1" t="str">
        <f t="shared" ca="1" si="2"/>
        <v>Reinne#8877</v>
      </c>
      <c r="F19" s="76">
        <f t="shared" ca="1" si="0"/>
        <v>9733574507</v>
      </c>
      <c r="G19" s="131" t="str">
        <f t="shared" si="1"/>
        <v>reinne.johnsonco@gmail.com</v>
      </c>
      <c r="H19" s="131" t="str">
        <f t="shared" ca="1" si="3"/>
        <v>T4drN6M0</v>
      </c>
      <c r="I19" s="2" t="s">
        <v>11</v>
      </c>
      <c r="J19" s="3">
        <v>44409</v>
      </c>
      <c r="K19" s="132">
        <f xml:space="preserve"> _xlfn.XLOOKUP(B19,Transactions!$B$2:$B$301,Transactions!$D$2:$D$301,"Not Found",,-1)</f>
        <v>44437</v>
      </c>
      <c r="L19" s="1">
        <v>14</v>
      </c>
      <c r="M19" s="1" t="s">
        <v>146</v>
      </c>
      <c r="N19" s="1" t="s">
        <v>147</v>
      </c>
      <c r="O19" s="1">
        <v>0.4</v>
      </c>
      <c r="P19" s="1">
        <v>0.2</v>
      </c>
      <c r="Q19" s="1">
        <v>0.4</v>
      </c>
      <c r="R19" s="1" t="s">
        <v>198</v>
      </c>
      <c r="S19" s="133" t="s">
        <v>199</v>
      </c>
      <c r="T19" s="6"/>
    </row>
    <row r="20" spans="1:20" x14ac:dyDescent="0.25">
      <c r="A20" s="47">
        <v>19</v>
      </c>
      <c r="B20" s="1" t="s">
        <v>12</v>
      </c>
      <c r="C20" s="1" t="s">
        <v>200</v>
      </c>
      <c r="D20" s="1" t="s">
        <v>131</v>
      </c>
      <c r="E20" s="1" t="str">
        <f t="shared" ca="1" si="2"/>
        <v>Tranquil#4153</v>
      </c>
      <c r="F20" s="76">
        <f t="shared" ca="1" si="0"/>
        <v>9821879238</v>
      </c>
      <c r="G20" s="131" t="str">
        <f t="shared" si="1"/>
        <v>tranquil.johnsonco@gmail.com</v>
      </c>
      <c r="H20" s="131" t="str">
        <f t="shared" ca="1" si="3"/>
        <v>N7jrH8X4</v>
      </c>
      <c r="I20" s="2" t="s">
        <v>11</v>
      </c>
      <c r="J20" s="3">
        <v>44409</v>
      </c>
      <c r="K20" s="132">
        <f xml:space="preserve"> _xlfn.XLOOKUP(B20,Transactions!$B$2:$B$301,Transactions!$D$2:$D$301,"Not Found",,-1)</f>
        <v>44437</v>
      </c>
      <c r="L20" s="1">
        <v>14</v>
      </c>
      <c r="M20" s="1" t="s">
        <v>146</v>
      </c>
      <c r="N20" s="1" t="s">
        <v>147</v>
      </c>
      <c r="O20" s="1">
        <v>0.4</v>
      </c>
      <c r="P20" s="1">
        <v>0.2</v>
      </c>
      <c r="Q20" s="1">
        <v>0.4</v>
      </c>
      <c r="R20" s="1" t="s">
        <v>201</v>
      </c>
      <c r="S20" s="133" t="s">
        <v>202</v>
      </c>
      <c r="T20" s="6"/>
    </row>
    <row r="21" spans="1:20" x14ac:dyDescent="0.25">
      <c r="A21" s="47">
        <v>20</v>
      </c>
      <c r="B21" s="1" t="s">
        <v>18</v>
      </c>
      <c r="C21" s="1" t="s">
        <v>203</v>
      </c>
      <c r="D21" s="1" t="s">
        <v>131</v>
      </c>
      <c r="E21" s="1" t="str">
        <f t="shared" ca="1" si="2"/>
        <v>Obsi#9897</v>
      </c>
      <c r="F21" s="76">
        <f t="shared" ca="1" si="0"/>
        <v>9014992507</v>
      </c>
      <c r="G21" s="131" t="str">
        <f t="shared" si="1"/>
        <v>obsi.johnsonco@gmail.com</v>
      </c>
      <c r="H21" s="131" t="str">
        <f t="shared" ca="1" si="3"/>
        <v>H6brU0K3</v>
      </c>
      <c r="I21" s="2" t="s">
        <v>90</v>
      </c>
      <c r="J21" s="3">
        <v>44393</v>
      </c>
      <c r="K21" s="132">
        <f xml:space="preserve"> _xlfn.XLOOKUP(B21,Transactions!$B$2:$B$301,Transactions!$D$2:$D$301,"Not Found",,-1)</f>
        <v>44437</v>
      </c>
      <c r="L21" s="1">
        <v>30</v>
      </c>
      <c r="M21" s="1" t="s">
        <v>146</v>
      </c>
      <c r="N21" s="1" t="s">
        <v>147</v>
      </c>
      <c r="O21" s="1">
        <v>0.4</v>
      </c>
      <c r="P21" s="1">
        <v>0.2</v>
      </c>
      <c r="Q21" s="1">
        <v>0.4</v>
      </c>
      <c r="R21" s="1" t="s">
        <v>204</v>
      </c>
      <c r="S21" s="133" t="s">
        <v>205</v>
      </c>
      <c r="T21" s="6"/>
    </row>
    <row r="22" spans="1:20" x14ac:dyDescent="0.25">
      <c r="A22" s="47">
        <v>21</v>
      </c>
      <c r="B22" s="1" t="s">
        <v>24</v>
      </c>
      <c r="C22" s="1" t="s">
        <v>206</v>
      </c>
      <c r="D22" s="1" t="s">
        <v>131</v>
      </c>
      <c r="E22" s="1" t="str">
        <f t="shared" ca="1" si="2"/>
        <v>Xin#3514</v>
      </c>
      <c r="F22" s="76">
        <f t="shared" ca="1" si="0"/>
        <v>9968294514</v>
      </c>
      <c r="G22" s="131" t="str">
        <f t="shared" si="1"/>
        <v>xin.johnsonco@gmail.com</v>
      </c>
      <c r="H22" s="131" t="str">
        <f t="shared" ca="1" si="3"/>
        <v>Z0ngW0N8</v>
      </c>
      <c r="I22" s="136" t="s">
        <v>17</v>
      </c>
      <c r="J22" s="3">
        <v>44521</v>
      </c>
      <c r="K22" s="132">
        <f xml:space="preserve"> _xlfn.XLOOKUP(B22,Transactions!$B$2:$B$301,Transactions!$D$2:$D$301,"Not Found",,-1)</f>
        <v>44535</v>
      </c>
      <c r="L22" s="1">
        <v>14</v>
      </c>
      <c r="M22" s="1" t="s">
        <v>146</v>
      </c>
      <c r="N22" s="1" t="s">
        <v>147</v>
      </c>
      <c r="O22" s="1">
        <v>0.35</v>
      </c>
      <c r="P22" s="1">
        <v>0.15</v>
      </c>
      <c r="Q22" s="1">
        <v>0.5</v>
      </c>
      <c r="R22" s="1" t="s">
        <v>201</v>
      </c>
      <c r="S22" s="135" t="s">
        <v>207</v>
      </c>
      <c r="T22" s="6"/>
    </row>
    <row r="23" spans="1:20" x14ac:dyDescent="0.25">
      <c r="A23" s="47">
        <v>22</v>
      </c>
      <c r="B23" s="1" t="s">
        <v>28</v>
      </c>
      <c r="C23" s="1" t="s">
        <v>208</v>
      </c>
      <c r="D23" s="1" t="s">
        <v>131</v>
      </c>
      <c r="E23" s="1" t="str">
        <f t="shared" ca="1" si="2"/>
        <v>Hammer#7742</v>
      </c>
      <c r="F23" s="76">
        <f t="shared" ca="1" si="0"/>
        <v>9756001578</v>
      </c>
      <c r="G23" s="131" t="str">
        <f t="shared" si="1"/>
        <v>hammer.johnsonco@gmail.com</v>
      </c>
      <c r="H23" s="131" t="str">
        <f t="shared" ca="1" si="3"/>
        <v>K5ytR8G2</v>
      </c>
      <c r="I23" s="136" t="s">
        <v>17</v>
      </c>
      <c r="J23" s="3">
        <v>44465</v>
      </c>
      <c r="K23" s="132">
        <f xml:space="preserve"> _xlfn.XLOOKUP(B23,Transactions!$B$2:$B$301,Transactions!$D$2:$D$301,"Not Found",,-1)</f>
        <v>44576</v>
      </c>
      <c r="L23" s="1">
        <v>14</v>
      </c>
      <c r="M23" s="1" t="s">
        <v>146</v>
      </c>
      <c r="N23" s="1" t="s">
        <v>147</v>
      </c>
      <c r="O23" s="1">
        <v>0.35</v>
      </c>
      <c r="P23" s="1">
        <v>0.15</v>
      </c>
      <c r="Q23" s="1">
        <v>0.5</v>
      </c>
      <c r="R23" s="1" t="s">
        <v>201</v>
      </c>
      <c r="S23" s="133" t="s">
        <v>207</v>
      </c>
      <c r="T23" s="6"/>
    </row>
    <row r="24" spans="1:20" x14ac:dyDescent="0.25">
      <c r="A24" s="47">
        <v>23</v>
      </c>
      <c r="B24" s="1" t="s">
        <v>32</v>
      </c>
      <c r="C24" s="1" t="s">
        <v>209</v>
      </c>
      <c r="D24" s="1" t="s">
        <v>131</v>
      </c>
      <c r="E24" s="1" t="str">
        <f t="shared" ca="1" si="2"/>
        <v>Pix#5534</v>
      </c>
      <c r="F24" s="76">
        <f t="shared" ca="1" si="0"/>
        <v>9110680421</v>
      </c>
      <c r="G24" s="131" t="str">
        <f t="shared" si="1"/>
        <v>pix.johnsonco@gmail.com</v>
      </c>
      <c r="H24" s="131" t="str">
        <f t="shared" ca="1" si="3"/>
        <v>N6hwH7C5</v>
      </c>
      <c r="I24" s="2" t="s">
        <v>46</v>
      </c>
      <c r="J24" s="3">
        <v>44564</v>
      </c>
      <c r="K24" s="132">
        <f xml:space="preserve"> _xlfn.XLOOKUP(B24,Transactions!$B$2:$B$301,Transactions!$D$2:$D$301,"Not Found",,-1)</f>
        <v>44578</v>
      </c>
      <c r="L24" s="1">
        <v>14</v>
      </c>
      <c r="M24" s="1" t="s">
        <v>146</v>
      </c>
      <c r="N24" s="1" t="s">
        <v>147</v>
      </c>
      <c r="O24" s="1">
        <v>0.35</v>
      </c>
      <c r="P24" s="1">
        <v>0.15</v>
      </c>
      <c r="Q24" s="1">
        <v>0.5</v>
      </c>
      <c r="R24" s="1" t="s">
        <v>210</v>
      </c>
      <c r="S24" s="133" t="s">
        <v>211</v>
      </c>
      <c r="T24" s="6"/>
    </row>
    <row r="25" spans="1:20" x14ac:dyDescent="0.25">
      <c r="A25" s="47">
        <v>24</v>
      </c>
      <c r="B25" s="1" t="s">
        <v>37</v>
      </c>
      <c r="C25" s="1" t="s">
        <v>212</v>
      </c>
      <c r="D25" s="1" t="s">
        <v>137</v>
      </c>
      <c r="E25" s="1" t="str">
        <f t="shared" ca="1" si="2"/>
        <v>Bleak#1130</v>
      </c>
      <c r="F25" s="76">
        <f t="shared" ca="1" si="0"/>
        <v>9561821691</v>
      </c>
      <c r="G25" s="131" t="str">
        <f t="shared" si="1"/>
        <v>bleak.infinityscho@gmail.com</v>
      </c>
      <c r="H25" s="131" t="str">
        <f t="shared" ca="1" si="3"/>
        <v>L1sxE2X6</v>
      </c>
      <c r="I25" s="2" t="s">
        <v>11</v>
      </c>
      <c r="J25" s="3">
        <v>44409</v>
      </c>
      <c r="K25" s="132">
        <f xml:space="preserve"> _xlfn.XLOOKUP(B25,Transactions!$B$2:$B$301,Transactions!$D$2:$D$301,"Not Found",,-1)</f>
        <v>44535</v>
      </c>
      <c r="L25" s="1">
        <v>30</v>
      </c>
      <c r="M25" s="1" t="s">
        <v>213</v>
      </c>
      <c r="N25" s="1" t="s">
        <v>214</v>
      </c>
      <c r="O25" s="1">
        <v>0.35</v>
      </c>
      <c r="P25" s="1">
        <v>0.15</v>
      </c>
      <c r="Q25" s="1">
        <v>0.5</v>
      </c>
      <c r="R25" s="1" t="s">
        <v>215</v>
      </c>
      <c r="S25" s="133" t="s">
        <v>216</v>
      </c>
      <c r="T25" s="6"/>
    </row>
    <row r="26" spans="1:20" x14ac:dyDescent="0.25">
      <c r="A26" s="47">
        <v>25</v>
      </c>
      <c r="B26" s="1" t="s">
        <v>42</v>
      </c>
      <c r="C26" s="1" t="s">
        <v>217</v>
      </c>
      <c r="D26" s="1" t="s">
        <v>131</v>
      </c>
      <c r="E26" s="1" t="str">
        <f t="shared" ca="1" si="2"/>
        <v>Captn#5660</v>
      </c>
      <c r="F26" s="76">
        <f t="shared" ca="1" si="0"/>
        <v>9862349388</v>
      </c>
      <c r="G26" s="131" t="str">
        <f t="shared" si="1"/>
        <v>captn.infinityscho@gmail.com</v>
      </c>
      <c r="H26" s="131" t="str">
        <f t="shared" ca="1" si="3"/>
        <v>D0ltL0X7</v>
      </c>
      <c r="I26" s="2" t="s">
        <v>11</v>
      </c>
      <c r="J26" s="3">
        <v>44532</v>
      </c>
      <c r="K26" s="132">
        <f xml:space="preserve"> _xlfn.XLOOKUP(B26,Transactions!$B$2:$B$301,Transactions!$D$2:$D$301,"Not Found",,-1)</f>
        <v>44578</v>
      </c>
      <c r="L26" s="1">
        <v>30</v>
      </c>
      <c r="M26" s="1" t="s">
        <v>213</v>
      </c>
      <c r="N26" s="1" t="s">
        <v>214</v>
      </c>
      <c r="O26" s="1">
        <v>0.4</v>
      </c>
      <c r="P26" s="1">
        <v>0.1</v>
      </c>
      <c r="Q26" s="1">
        <v>0.5</v>
      </c>
      <c r="R26" s="1" t="s">
        <v>215</v>
      </c>
      <c r="S26" s="133" t="s">
        <v>218</v>
      </c>
      <c r="T26" s="6"/>
    </row>
    <row r="27" spans="1:20" x14ac:dyDescent="0.25">
      <c r="A27" s="47">
        <v>26</v>
      </c>
      <c r="B27" s="1" t="s">
        <v>47</v>
      </c>
      <c r="C27" s="1" t="s">
        <v>219</v>
      </c>
      <c r="D27" s="1" t="s">
        <v>131</v>
      </c>
      <c r="E27" s="1" t="str">
        <f t="shared" ca="1" si="2"/>
        <v>Arth#2594</v>
      </c>
      <c r="F27" s="76">
        <f t="shared" ca="1" si="0"/>
        <v>9335684653</v>
      </c>
      <c r="G27" s="131" t="str">
        <f t="shared" si="1"/>
        <v>arth.johnsonco@gmail.com</v>
      </c>
      <c r="H27" s="131" t="str">
        <f t="shared" ca="1" si="3"/>
        <v>O9hvX7W3</v>
      </c>
      <c r="I27" s="2" t="s">
        <v>90</v>
      </c>
      <c r="J27" s="3">
        <v>44409</v>
      </c>
      <c r="K27" s="132">
        <f xml:space="preserve"> _xlfn.XLOOKUP(B27,Transactions!$B$2:$B$301,Transactions!$D$2:$D$301,"Not Found",,-1)</f>
        <v>44550</v>
      </c>
      <c r="L27" s="1">
        <v>14</v>
      </c>
      <c r="M27" s="1" t="s">
        <v>146</v>
      </c>
      <c r="N27" s="1" t="s">
        <v>147</v>
      </c>
      <c r="O27" s="1">
        <v>0.35</v>
      </c>
      <c r="P27" s="1">
        <v>0.15</v>
      </c>
      <c r="Q27" s="1">
        <v>0.5</v>
      </c>
      <c r="R27" s="1" t="s">
        <v>220</v>
      </c>
      <c r="S27" s="133" t="s">
        <v>221</v>
      </c>
      <c r="T27" s="6"/>
    </row>
    <row r="28" spans="1:20" x14ac:dyDescent="0.25">
      <c r="A28" s="47">
        <v>27</v>
      </c>
      <c r="B28" s="1" t="s">
        <v>52</v>
      </c>
      <c r="C28" s="1" t="s">
        <v>222</v>
      </c>
      <c r="D28" s="1" t="s">
        <v>137</v>
      </c>
      <c r="E28" s="1" t="str">
        <f t="shared" ca="1" si="2"/>
        <v>Dott#2769</v>
      </c>
      <c r="F28" s="76">
        <f t="shared" ca="1" si="0"/>
        <v>9172707749</v>
      </c>
      <c r="G28" s="131" t="str">
        <f t="shared" si="1"/>
        <v>dott.asg@gmail.com</v>
      </c>
      <c r="H28" s="131" t="str">
        <f t="shared" ca="1" si="3"/>
        <v>D9piS7W6</v>
      </c>
      <c r="I28" s="136" t="s">
        <v>17</v>
      </c>
      <c r="J28" s="3">
        <v>44539</v>
      </c>
      <c r="K28" s="132">
        <f xml:space="preserve"> _xlfn.XLOOKUP(B28,Transactions!$B$2:$B$301,Transactions!$D$2:$D$301,"Not Found",,-1)</f>
        <v>44582</v>
      </c>
      <c r="L28" s="1">
        <v>14</v>
      </c>
      <c r="M28" s="1" t="s">
        <v>223</v>
      </c>
      <c r="N28" s="1" t="s">
        <v>224</v>
      </c>
      <c r="O28" s="1">
        <v>0.4</v>
      </c>
      <c r="P28" s="1">
        <v>0.25</v>
      </c>
      <c r="Q28" s="1">
        <v>0.35</v>
      </c>
      <c r="R28" s="1" t="s">
        <v>225</v>
      </c>
      <c r="S28" s="135" t="s">
        <v>226</v>
      </c>
      <c r="T28" s="6"/>
    </row>
    <row r="29" spans="1:20" x14ac:dyDescent="0.25">
      <c r="A29" s="47">
        <v>28</v>
      </c>
      <c r="B29" s="1" t="s">
        <v>56</v>
      </c>
      <c r="C29" s="1" t="s">
        <v>227</v>
      </c>
      <c r="D29" s="1" t="s">
        <v>131</v>
      </c>
      <c r="E29" s="1" t="str">
        <f t="shared" ca="1" si="2"/>
        <v>Dond#1297</v>
      </c>
      <c r="F29" s="76">
        <f t="shared" ca="1" si="0"/>
        <v>9887051737</v>
      </c>
      <c r="G29" s="131" t="str">
        <f t="shared" si="1"/>
        <v>dond.asg@gmail.com</v>
      </c>
      <c r="H29" s="131" t="str">
        <f t="shared" ca="1" si="3"/>
        <v>S5slS9T5</v>
      </c>
      <c r="I29" s="136" t="s">
        <v>17</v>
      </c>
      <c r="J29" s="3">
        <v>44461</v>
      </c>
      <c r="K29" s="132">
        <f xml:space="preserve"> _xlfn.XLOOKUP(B29,Transactions!$B$2:$B$301,Transactions!$D$2:$D$301,"Not Found",,-1)</f>
        <v>44593</v>
      </c>
      <c r="L29" s="1">
        <v>14</v>
      </c>
      <c r="M29" s="1" t="s">
        <v>223</v>
      </c>
      <c r="N29" s="1" t="s">
        <v>224</v>
      </c>
      <c r="O29" s="1">
        <v>0.35</v>
      </c>
      <c r="P29" s="1">
        <v>0.25</v>
      </c>
      <c r="Q29" s="1">
        <v>0.4</v>
      </c>
      <c r="R29" s="1" t="s">
        <v>225</v>
      </c>
      <c r="S29" s="133" t="s">
        <v>226</v>
      </c>
      <c r="T29" s="6"/>
    </row>
    <row r="30" spans="1:20" x14ac:dyDescent="0.25">
      <c r="A30" s="47">
        <v>29</v>
      </c>
      <c r="B30" s="1" t="s">
        <v>63</v>
      </c>
      <c r="C30" s="1" t="s">
        <v>228</v>
      </c>
      <c r="D30" s="1" t="s">
        <v>131</v>
      </c>
      <c r="E30" s="1" t="str">
        <f t="shared" ca="1" si="2"/>
        <v>Duck#9892</v>
      </c>
      <c r="F30" s="76">
        <f t="shared" ca="1" si="0"/>
        <v>9098412344</v>
      </c>
      <c r="G30" s="131" t="str">
        <f t="shared" si="1"/>
        <v>duck.johnsonco@gmail.com</v>
      </c>
      <c r="H30" s="131" t="str">
        <f t="shared" ca="1" si="3"/>
        <v>A7qtU0G8</v>
      </c>
      <c r="I30" s="136" t="s">
        <v>17</v>
      </c>
      <c r="J30" s="3">
        <v>44412</v>
      </c>
      <c r="K30" s="132">
        <f xml:space="preserve"> _xlfn.XLOOKUP(B30,Transactions!$B$2:$B$301,Transactions!$D$2:$D$301,"Not Found",,-1)</f>
        <v>44426</v>
      </c>
      <c r="L30" s="1">
        <v>14</v>
      </c>
      <c r="M30" s="1" t="s">
        <v>146</v>
      </c>
      <c r="N30" s="1" t="s">
        <v>147</v>
      </c>
      <c r="O30" s="1">
        <v>0.3</v>
      </c>
      <c r="P30" s="1">
        <v>0</v>
      </c>
      <c r="Q30" s="1">
        <v>0.7</v>
      </c>
      <c r="R30" s="1" t="s">
        <v>229</v>
      </c>
      <c r="S30" s="133" t="s">
        <v>230</v>
      </c>
      <c r="T30" s="6"/>
    </row>
    <row r="31" spans="1:20" x14ac:dyDescent="0.25">
      <c r="A31" s="47">
        <v>30</v>
      </c>
      <c r="B31" s="1" t="s">
        <v>71</v>
      </c>
      <c r="C31" s="1" t="s">
        <v>231</v>
      </c>
      <c r="D31" s="1" t="s">
        <v>137</v>
      </c>
      <c r="E31" s="1" t="str">
        <f t="shared" ca="1" si="2"/>
        <v>Quelin#2388</v>
      </c>
      <c r="F31" s="76">
        <f t="shared" ca="1" si="0"/>
        <v>9055538144</v>
      </c>
      <c r="G31" s="131" t="str">
        <f t="shared" si="1"/>
        <v>quelin.johnsonco@gmail.com</v>
      </c>
      <c r="H31" s="131" t="str">
        <f t="shared" ca="1" si="3"/>
        <v>O4yuA8K8</v>
      </c>
      <c r="I31" s="136" t="s">
        <v>145</v>
      </c>
      <c r="J31" s="3">
        <v>44423</v>
      </c>
      <c r="K31" s="132">
        <f xml:space="preserve"> _xlfn.XLOOKUP(B31,Transactions!$B$2:$B$301,Transactions!$D$2:$D$301,"Not Found",,-1)</f>
        <v>44576</v>
      </c>
      <c r="L31" s="1">
        <v>14</v>
      </c>
      <c r="M31" s="1" t="s">
        <v>146</v>
      </c>
      <c r="N31" s="1" t="s">
        <v>147</v>
      </c>
      <c r="O31" s="1">
        <v>0.35</v>
      </c>
      <c r="P31" s="1">
        <v>0.15</v>
      </c>
      <c r="Q31" s="1">
        <v>0.5</v>
      </c>
      <c r="R31" s="1" t="s">
        <v>210</v>
      </c>
      <c r="S31" s="135" t="s">
        <v>211</v>
      </c>
      <c r="T31" s="6"/>
    </row>
    <row r="32" spans="1:20" x14ac:dyDescent="0.25">
      <c r="A32" s="47">
        <v>31</v>
      </c>
      <c r="B32" s="1" t="s">
        <v>75</v>
      </c>
      <c r="C32" s="1" t="s">
        <v>232</v>
      </c>
      <c r="D32" s="1" t="s">
        <v>131</v>
      </c>
      <c r="E32" s="1" t="str">
        <f t="shared" ca="1" si="2"/>
        <v>Toxi#8370</v>
      </c>
      <c r="F32" s="76">
        <f t="shared" ca="1" si="0"/>
        <v>9641591759</v>
      </c>
      <c r="G32" s="131" t="str">
        <f t="shared" si="1"/>
        <v>toxi.johnsonco@gmail.com</v>
      </c>
      <c r="H32" s="131" t="str">
        <f t="shared" ca="1" si="3"/>
        <v>U0skE0U2</v>
      </c>
      <c r="I32" s="136" t="s">
        <v>17</v>
      </c>
      <c r="J32" s="3">
        <v>44551</v>
      </c>
      <c r="K32" s="132">
        <f xml:space="preserve"> _xlfn.XLOOKUP(B32,Transactions!$B$2:$B$301,Transactions!$D$2:$D$301,"Not Found",,-1)</f>
        <v>44579</v>
      </c>
      <c r="L32" s="1">
        <v>14</v>
      </c>
      <c r="M32" s="1" t="s">
        <v>146</v>
      </c>
      <c r="N32" s="1" t="s">
        <v>147</v>
      </c>
      <c r="O32" s="1">
        <v>0.4</v>
      </c>
      <c r="P32" s="1">
        <v>0.1</v>
      </c>
      <c r="Q32" s="1">
        <v>0.5</v>
      </c>
      <c r="R32" s="1" t="s">
        <v>233</v>
      </c>
      <c r="S32" s="135" t="s">
        <v>234</v>
      </c>
      <c r="T32" s="6"/>
    </row>
    <row r="33" spans="1:20" x14ac:dyDescent="0.25">
      <c r="A33" s="47">
        <v>32</v>
      </c>
      <c r="B33" s="1" t="s">
        <v>79</v>
      </c>
      <c r="C33" s="1" t="s">
        <v>235</v>
      </c>
      <c r="D33" s="1" t="s">
        <v>131</v>
      </c>
      <c r="E33" s="1" t="str">
        <f t="shared" ca="1" si="2"/>
        <v>Mik#2007</v>
      </c>
      <c r="F33" s="76">
        <f t="shared" ca="1" si="0"/>
        <v>9111914765</v>
      </c>
      <c r="G33" s="131" t="str">
        <f t="shared" si="1"/>
        <v>mik.johnsonco@gmail.com</v>
      </c>
      <c r="H33" s="131" t="str">
        <f t="shared" ca="1" si="3"/>
        <v>J8hmV2V6</v>
      </c>
      <c r="I33" s="136" t="s">
        <v>17</v>
      </c>
      <c r="J33" s="3">
        <v>44550</v>
      </c>
      <c r="K33" s="132">
        <f xml:space="preserve"> _xlfn.XLOOKUP(B33,Transactions!$B$2:$B$301,Transactions!$D$2:$D$301,"Not Found",,-1)</f>
        <v>44576</v>
      </c>
      <c r="L33" s="1">
        <v>14</v>
      </c>
      <c r="M33" s="1" t="s">
        <v>146</v>
      </c>
      <c r="N33" s="1" t="s">
        <v>147</v>
      </c>
      <c r="O33" s="1">
        <v>0.4</v>
      </c>
      <c r="P33" s="1">
        <v>0.1</v>
      </c>
      <c r="Q33" s="1">
        <v>0.5</v>
      </c>
      <c r="R33" s="1" t="s">
        <v>161</v>
      </c>
      <c r="S33" s="135" t="s">
        <v>162</v>
      </c>
      <c r="T33" s="6"/>
    </row>
    <row r="34" spans="1:20" x14ac:dyDescent="0.25">
      <c r="A34" s="47">
        <v>33</v>
      </c>
      <c r="B34" s="1" t="s">
        <v>91</v>
      </c>
      <c r="C34" s="1" t="s">
        <v>236</v>
      </c>
      <c r="D34" s="1" t="s">
        <v>137</v>
      </c>
      <c r="E34" s="1" t="str">
        <f t="shared" ca="1" si="2"/>
        <v>Alpha#7729</v>
      </c>
      <c r="F34" s="76">
        <f t="shared" ref="F34:F50" ca="1" si="4">RANDBETWEEN(9000000000,9999999999)</f>
        <v>9463418809</v>
      </c>
      <c r="G34" s="131" t="str">
        <f t="shared" ref="G34:G50" si="5">LOWER(_xlfn.CONCAT(B34,".",TRIM(N34),"@gmail.com"))</f>
        <v>alpha.johnsonco@gmail.com</v>
      </c>
      <c r="H34" s="131" t="str">
        <f t="shared" ca="1" si="3"/>
        <v>I3njE9J0</v>
      </c>
      <c r="I34" s="136" t="s">
        <v>145</v>
      </c>
      <c r="J34" s="3">
        <v>44423</v>
      </c>
      <c r="K34" s="132">
        <f xml:space="preserve"> _xlfn.XLOOKUP(B34,Transactions!$B$2:$B$301,Transactions!$D$2:$D$301,"Not Found",,-1)</f>
        <v>44576</v>
      </c>
      <c r="L34" s="1">
        <v>14</v>
      </c>
      <c r="M34" s="1" t="s">
        <v>146</v>
      </c>
      <c r="N34" s="1" t="s">
        <v>147</v>
      </c>
      <c r="O34" s="1">
        <v>0.4</v>
      </c>
      <c r="P34" s="1">
        <v>0.1</v>
      </c>
      <c r="Q34" s="1">
        <v>0.5</v>
      </c>
      <c r="R34" s="1" t="s">
        <v>233</v>
      </c>
      <c r="S34" s="133" t="s">
        <v>234</v>
      </c>
      <c r="T34" s="6"/>
    </row>
    <row r="35" spans="1:20" x14ac:dyDescent="0.25">
      <c r="A35" s="47">
        <v>34</v>
      </c>
      <c r="B35" s="1" t="s">
        <v>93</v>
      </c>
      <c r="C35" s="1" t="s">
        <v>237</v>
      </c>
      <c r="D35" s="1" t="s">
        <v>131</v>
      </c>
      <c r="E35" s="1" t="str">
        <f t="shared" ca="1" si="2"/>
        <v>Yosh#9120</v>
      </c>
      <c r="F35" s="76">
        <f t="shared" ca="1" si="4"/>
        <v>9214067533</v>
      </c>
      <c r="G35" s="131" t="str">
        <f t="shared" si="5"/>
        <v>yosh.roma@gmail.com</v>
      </c>
      <c r="H35" s="131" t="str">
        <f t="shared" ca="1" si="3"/>
        <v>J0wfN6Q4</v>
      </c>
      <c r="I35" s="136" t="s">
        <v>145</v>
      </c>
      <c r="J35" s="3">
        <v>44556</v>
      </c>
      <c r="K35" s="132">
        <f xml:space="preserve"> _xlfn.XLOOKUP(B35,Transactions!$B$2:$B$301,Transactions!$D$2:$D$301,"Not Found",,-1)</f>
        <v>44574</v>
      </c>
      <c r="L35" s="1">
        <v>18</v>
      </c>
      <c r="M35" s="1" t="s">
        <v>156</v>
      </c>
      <c r="N35" s="1" t="s">
        <v>157</v>
      </c>
      <c r="O35" s="1">
        <v>0.37</v>
      </c>
      <c r="P35" s="1">
        <v>0.03</v>
      </c>
      <c r="Q35" s="1">
        <v>0.6</v>
      </c>
      <c r="R35" s="1" t="s">
        <v>238</v>
      </c>
      <c r="S35" s="133" t="s">
        <v>239</v>
      </c>
      <c r="T35" s="6"/>
    </row>
    <row r="36" spans="1:20" x14ac:dyDescent="0.25">
      <c r="A36" s="47">
        <v>35</v>
      </c>
      <c r="B36" s="1" t="s">
        <v>7</v>
      </c>
      <c r="C36" s="1" t="s">
        <v>240</v>
      </c>
      <c r="D36" s="1" t="s">
        <v>137</v>
      </c>
      <c r="E36" s="1" t="str">
        <f t="shared" ca="1" si="2"/>
        <v>Anons#6614</v>
      </c>
      <c r="F36" s="76">
        <f t="shared" ca="1" si="4"/>
        <v>9362840938</v>
      </c>
      <c r="G36" s="131" t="str">
        <f t="shared" si="5"/>
        <v>anons.grandsn@gmail.com</v>
      </c>
      <c r="H36" s="131" t="str">
        <f t="shared" ca="1" si="3"/>
        <v>H0bjE9F5</v>
      </c>
      <c r="I36" s="136" t="s">
        <v>145</v>
      </c>
      <c r="J36" s="3">
        <v>44440</v>
      </c>
      <c r="K36" s="132">
        <f xml:space="preserve"> _xlfn.XLOOKUP(B36,Transactions!$B$2:$B$301,Transactions!$D$2:$D$301,"Not Found",,-1)</f>
        <v>44576</v>
      </c>
      <c r="L36" s="1">
        <v>30</v>
      </c>
      <c r="M36" s="1" t="s">
        <v>151</v>
      </c>
      <c r="N36" s="1" t="s">
        <v>152</v>
      </c>
      <c r="O36" s="1">
        <v>0.45</v>
      </c>
      <c r="P36" s="1">
        <v>0.1</v>
      </c>
      <c r="Q36" s="1">
        <v>0.45</v>
      </c>
      <c r="R36" s="1" t="s">
        <v>153</v>
      </c>
      <c r="S36" s="135" t="s">
        <v>154</v>
      </c>
      <c r="T36" s="6"/>
    </row>
    <row r="37" spans="1:20" x14ac:dyDescent="0.25">
      <c r="A37" s="47">
        <v>36</v>
      </c>
      <c r="B37" s="1" t="s">
        <v>13</v>
      </c>
      <c r="C37" s="1" t="s">
        <v>241</v>
      </c>
      <c r="D37" s="1" t="s">
        <v>131</v>
      </c>
      <c r="E37" s="1" t="str">
        <f t="shared" ca="1" si="2"/>
        <v>Andreii#3273</v>
      </c>
      <c r="F37" s="76">
        <f t="shared" ca="1" si="4"/>
        <v>9115076402</v>
      </c>
      <c r="G37" s="131" t="str">
        <f t="shared" si="5"/>
        <v>andreii.sealand@gmail.com</v>
      </c>
      <c r="H37" s="131" t="str">
        <f ca="1">CHAR(RANDBETWEEN(65,90))&amp;RANDBETWEEN(0,9)&amp;CHAR(RANDBETWEEN(97,122))&amp;CHAR(RANDBETWEEN(97,122))&amp;CHAR(RANDBETWEEN(65,90))&amp;RANDBETWEEN(0,9)&amp;CHAR(RANDBETWEEN(65,90))&amp;RANDBETWEEN(0,9)</f>
        <v>B2xyJ1W6</v>
      </c>
      <c r="I37" s="136" t="s">
        <v>17</v>
      </c>
      <c r="J37" s="3">
        <v>44451</v>
      </c>
      <c r="K37" s="132">
        <f xml:space="preserve"> _xlfn.XLOOKUP(B37,Transactions!$B$2:$B$301,Transactions!$D$2:$D$301,"Not Found",,-1)</f>
        <v>44481</v>
      </c>
      <c r="L37" s="1">
        <v>30</v>
      </c>
      <c r="M37" s="1" t="s">
        <v>242</v>
      </c>
      <c r="N37" s="1" t="s">
        <v>243</v>
      </c>
      <c r="O37" s="1">
        <v>0.35</v>
      </c>
      <c r="P37" s="1">
        <v>0.15</v>
      </c>
      <c r="Q37" s="1">
        <v>0.5</v>
      </c>
      <c r="R37" s="1" t="s">
        <v>244</v>
      </c>
      <c r="S37" s="135" t="s">
        <v>245</v>
      </c>
      <c r="T37" s="6"/>
    </row>
    <row r="38" spans="1:20" x14ac:dyDescent="0.25">
      <c r="A38" s="47">
        <v>37</v>
      </c>
      <c r="B38" s="1" t="s">
        <v>19</v>
      </c>
      <c r="C38" s="1" t="s">
        <v>246</v>
      </c>
      <c r="D38" s="1" t="s">
        <v>131</v>
      </c>
      <c r="E38" s="1" t="str">
        <f t="shared" ca="1" si="2"/>
        <v>Carl#9896</v>
      </c>
      <c r="F38" s="76">
        <f t="shared" ca="1" si="4"/>
        <v>9840976687</v>
      </c>
      <c r="G38" s="131" t="str">
        <f t="shared" si="5"/>
        <v>carl.sealand@gmail.com</v>
      </c>
      <c r="H38" s="131" t="str">
        <f t="shared" ca="1" si="3"/>
        <v>F9cjR5V0</v>
      </c>
      <c r="I38" s="136" t="s">
        <v>145</v>
      </c>
      <c r="J38" s="3">
        <v>44412</v>
      </c>
      <c r="K38" s="132">
        <f xml:space="preserve"> _xlfn.XLOOKUP(B38,Transactions!$B$2:$B$301,Transactions!$D$2:$D$301,"Not Found",,-1)</f>
        <v>44575</v>
      </c>
      <c r="L38" s="1">
        <v>30</v>
      </c>
      <c r="M38" s="1" t="s">
        <v>242</v>
      </c>
      <c r="N38" s="1" t="s">
        <v>243</v>
      </c>
      <c r="O38" s="1">
        <v>0.35</v>
      </c>
      <c r="P38" s="1">
        <v>0.15</v>
      </c>
      <c r="Q38" s="1">
        <v>0.5</v>
      </c>
      <c r="R38" s="1" t="s">
        <v>244</v>
      </c>
      <c r="S38" s="133" t="s">
        <v>245</v>
      </c>
      <c r="T38" s="6"/>
    </row>
    <row r="39" spans="1:20" x14ac:dyDescent="0.25">
      <c r="A39" s="47">
        <v>38</v>
      </c>
      <c r="B39" s="1" t="s">
        <v>25</v>
      </c>
      <c r="C39" s="1" t="s">
        <v>247</v>
      </c>
      <c r="D39" s="1" t="s">
        <v>137</v>
      </c>
      <c r="E39" s="1" t="str">
        <f t="shared" ca="1" si="2"/>
        <v>Kian#5836</v>
      </c>
      <c r="F39" s="76">
        <f t="shared" ca="1" si="4"/>
        <v>9884078740</v>
      </c>
      <c r="G39" s="131" t="str">
        <f t="shared" si="5"/>
        <v>kian.infinityscho@gmail.com</v>
      </c>
      <c r="H39" s="131" t="str">
        <f t="shared" ca="1" si="3"/>
        <v>M0hzM3H1</v>
      </c>
      <c r="I39" s="2" t="s">
        <v>38</v>
      </c>
      <c r="J39" s="3">
        <v>44442</v>
      </c>
      <c r="K39" s="132">
        <f xml:space="preserve"> _xlfn.XLOOKUP(B39,Transactions!$B$2:$B$301,Transactions!$D$2:$D$301,"Not Found",,-1)</f>
        <v>44575</v>
      </c>
      <c r="L39" s="1">
        <v>30</v>
      </c>
      <c r="M39" s="1" t="s">
        <v>248</v>
      </c>
      <c r="N39" s="1" t="s">
        <v>214</v>
      </c>
      <c r="O39" s="1">
        <v>0.4</v>
      </c>
      <c r="P39" s="1">
        <v>0.1</v>
      </c>
      <c r="Q39" s="1">
        <v>0.5</v>
      </c>
      <c r="R39" s="1" t="s">
        <v>249</v>
      </c>
      <c r="S39" s="135" t="s">
        <v>250</v>
      </c>
      <c r="T39" s="6"/>
    </row>
    <row r="40" spans="1:20" x14ac:dyDescent="0.25">
      <c r="A40" s="47">
        <v>39</v>
      </c>
      <c r="B40" s="1" t="s">
        <v>29</v>
      </c>
      <c r="C40" s="1" t="s">
        <v>251</v>
      </c>
      <c r="D40" s="1" t="s">
        <v>137</v>
      </c>
      <c r="E40" s="1" t="str">
        <f t="shared" ca="1" si="2"/>
        <v>Haruhi#8247</v>
      </c>
      <c r="F40" s="76">
        <f t="shared" ca="1" si="4"/>
        <v>9354057338</v>
      </c>
      <c r="G40" s="131" t="str">
        <f t="shared" si="5"/>
        <v>haruhi.johnsonco@gmail.com</v>
      </c>
      <c r="H40" s="131" t="str">
        <f t="shared" ca="1" si="3"/>
        <v>W7jvI4D6</v>
      </c>
      <c r="I40" s="2" t="s">
        <v>90</v>
      </c>
      <c r="J40" s="3">
        <v>44423</v>
      </c>
      <c r="K40" s="132">
        <f xml:space="preserve"> _xlfn.XLOOKUP(B40,Transactions!$B$2:$B$301,Transactions!$D$2:$D$301,"Not Found",,-1)</f>
        <v>44575</v>
      </c>
      <c r="L40" s="1">
        <v>14</v>
      </c>
      <c r="M40" s="1" t="s">
        <v>146</v>
      </c>
      <c r="N40" s="1" t="s">
        <v>147</v>
      </c>
      <c r="O40" s="1">
        <v>0.4</v>
      </c>
      <c r="P40" s="1">
        <v>0.1</v>
      </c>
      <c r="Q40" s="1">
        <v>0.5</v>
      </c>
      <c r="R40" s="1" t="s">
        <v>252</v>
      </c>
      <c r="S40" s="133" t="s">
        <v>253</v>
      </c>
      <c r="T40" s="6"/>
    </row>
    <row r="41" spans="1:20" x14ac:dyDescent="0.25">
      <c r="A41" s="47">
        <v>40</v>
      </c>
      <c r="B41" s="1" t="s">
        <v>33</v>
      </c>
      <c r="C41" s="1" t="s">
        <v>254</v>
      </c>
      <c r="D41" s="1" t="s">
        <v>131</v>
      </c>
      <c r="E41" s="1" t="str">
        <f t="shared" ca="1" si="2"/>
        <v>Ash#3926</v>
      </c>
      <c r="F41" s="76">
        <f t="shared" ca="1" si="4"/>
        <v>9951455896</v>
      </c>
      <c r="G41" s="131" t="str">
        <f t="shared" si="5"/>
        <v>ash.libangguild@gmail.com</v>
      </c>
      <c r="H41" s="131" t="str">
        <f t="shared" ca="1" si="3"/>
        <v>U4qxM0M6</v>
      </c>
      <c r="I41" s="136" t="s">
        <v>145</v>
      </c>
      <c r="J41" s="3">
        <v>44521</v>
      </c>
      <c r="K41" s="132">
        <f xml:space="preserve"> _xlfn.XLOOKUP(B41,Transactions!$B$2:$B$301,Transactions!$D$2:$D$301,"Not Found",,-1)</f>
        <v>44579</v>
      </c>
      <c r="L41" s="1">
        <v>14</v>
      </c>
      <c r="M41" s="1" t="str">
        <f ca="1">E2</f>
        <v>Raze#3955</v>
      </c>
      <c r="N41" s="1" t="s">
        <v>133</v>
      </c>
      <c r="O41" s="1">
        <v>0.4</v>
      </c>
      <c r="P41" s="1">
        <v>0</v>
      </c>
      <c r="Q41" s="1">
        <v>0.6</v>
      </c>
      <c r="R41" s="1" t="s">
        <v>255</v>
      </c>
      <c r="S41" s="135" t="s">
        <v>256</v>
      </c>
      <c r="T41" s="6"/>
    </row>
    <row r="42" spans="1:20" x14ac:dyDescent="0.25">
      <c r="A42" s="47">
        <v>41</v>
      </c>
      <c r="B42" s="1" t="s">
        <v>38</v>
      </c>
      <c r="C42" s="1" t="s">
        <v>257</v>
      </c>
      <c r="D42" s="1" t="s">
        <v>131</v>
      </c>
      <c r="E42" s="1" t="str">
        <f t="shared" ca="1" si="2"/>
        <v>Suru#3446</v>
      </c>
      <c r="F42" s="76">
        <f t="shared" ca="1" si="4"/>
        <v>9120616681</v>
      </c>
      <c r="G42" s="131" t="str">
        <f t="shared" si="5"/>
        <v>suru.jziicorp@gmail.com</v>
      </c>
      <c r="H42" s="131" t="str">
        <f t="shared" ca="1" si="3"/>
        <v>X7mwI6J8</v>
      </c>
      <c r="I42" s="136" t="s">
        <v>145</v>
      </c>
      <c r="J42" s="3">
        <v>44416</v>
      </c>
      <c r="K42" s="132">
        <f xml:space="preserve"> _xlfn.XLOOKUP(B42,Transactions!$B$2:$B$301,Transactions!$D$2:$D$301,"Not Found",,-1)</f>
        <v>44575</v>
      </c>
      <c r="L42" s="1">
        <v>30</v>
      </c>
      <c r="M42" s="1" t="s">
        <v>172</v>
      </c>
      <c r="N42" s="1" t="s">
        <v>173</v>
      </c>
      <c r="O42" s="1">
        <v>0.35</v>
      </c>
      <c r="P42" s="1">
        <v>0.05</v>
      </c>
      <c r="Q42" s="1">
        <v>0.6</v>
      </c>
      <c r="R42" s="1" t="s">
        <v>258</v>
      </c>
      <c r="S42" s="135" t="s">
        <v>259</v>
      </c>
      <c r="T42" s="6"/>
    </row>
    <row r="43" spans="1:20" x14ac:dyDescent="0.25">
      <c r="A43" s="47">
        <v>42</v>
      </c>
      <c r="B43" s="1" t="s">
        <v>43</v>
      </c>
      <c r="C43" s="1" t="s">
        <v>260</v>
      </c>
      <c r="D43" s="1" t="s">
        <v>137</v>
      </c>
      <c r="E43" s="1" t="str">
        <f t="shared" ca="1" si="2"/>
        <v>Lillo#8958</v>
      </c>
      <c r="F43" s="76">
        <f t="shared" ca="1" si="4"/>
        <v>9388486012</v>
      </c>
      <c r="G43" s="131" t="str">
        <f t="shared" si="5"/>
        <v>lillo.sealand@gmail.com</v>
      </c>
      <c r="H43" s="131" t="str">
        <f t="shared" ca="1" si="3"/>
        <v>G4soK7J4</v>
      </c>
      <c r="I43" s="136" t="s">
        <v>145</v>
      </c>
      <c r="J43" s="3">
        <v>44444</v>
      </c>
      <c r="K43" s="132">
        <f xml:space="preserve"> _xlfn.XLOOKUP(B43,Transactions!$B$2:$B$301,Transactions!$D$2:$D$301,"Not Found",,-1)</f>
        <v>44575</v>
      </c>
      <c r="L43" s="1">
        <v>30</v>
      </c>
      <c r="M43" s="1" t="s">
        <v>242</v>
      </c>
      <c r="N43" s="1" t="s">
        <v>243</v>
      </c>
      <c r="O43" s="1">
        <v>0.4</v>
      </c>
      <c r="P43" s="1">
        <v>0.1</v>
      </c>
      <c r="Q43" s="1">
        <v>0.5</v>
      </c>
      <c r="R43" s="1" t="s">
        <v>261</v>
      </c>
      <c r="S43" s="135" t="s">
        <v>262</v>
      </c>
      <c r="T43" s="6"/>
    </row>
    <row r="44" spans="1:20" x14ac:dyDescent="0.25">
      <c r="A44" s="47">
        <v>43</v>
      </c>
      <c r="B44" s="1" t="s">
        <v>48</v>
      </c>
      <c r="C44" s="1" t="s">
        <v>263</v>
      </c>
      <c r="D44" s="1" t="s">
        <v>131</v>
      </c>
      <c r="E44" s="1" t="str">
        <f t="shared" ca="1" si="2"/>
        <v>Jgm#1785</v>
      </c>
      <c r="F44" s="76">
        <f t="shared" ca="1" si="4"/>
        <v>9356883539</v>
      </c>
      <c r="G44" s="131" t="str">
        <f t="shared" si="5"/>
        <v>jgm.jziicorp@gmail.com</v>
      </c>
      <c r="H44" s="131" t="str">
        <f t="shared" ca="1" si="3"/>
        <v>F3fnK8K5</v>
      </c>
      <c r="I44" s="2" t="s">
        <v>43</v>
      </c>
      <c r="J44" s="3">
        <v>44469</v>
      </c>
      <c r="K44" s="132">
        <f xml:space="preserve"> _xlfn.XLOOKUP(B44,Transactions!$B$2:$B$301,Transactions!$D$2:$D$301,"Not Found",,-1)</f>
        <v>44564</v>
      </c>
      <c r="L44" s="1">
        <v>14</v>
      </c>
      <c r="M44" s="1" t="s">
        <v>172</v>
      </c>
      <c r="N44" s="1" t="s">
        <v>173</v>
      </c>
      <c r="O44" s="1">
        <v>0.35</v>
      </c>
      <c r="P44" s="1">
        <v>0.05</v>
      </c>
      <c r="Q44" s="1">
        <v>0.6</v>
      </c>
      <c r="R44" s="1" t="s">
        <v>192</v>
      </c>
      <c r="S44" s="133" t="s">
        <v>193</v>
      </c>
      <c r="T44" s="6"/>
    </row>
    <row r="45" spans="1:20" x14ac:dyDescent="0.25">
      <c r="A45" s="47">
        <v>44</v>
      </c>
      <c r="B45" s="1" t="s">
        <v>53</v>
      </c>
      <c r="C45" s="1" t="s">
        <v>264</v>
      </c>
      <c r="D45" s="1" t="s">
        <v>131</v>
      </c>
      <c r="E45" s="1" t="str">
        <f t="shared" ca="1" si="2"/>
        <v>Oman#5693</v>
      </c>
      <c r="F45" s="76">
        <f t="shared" ca="1" si="4"/>
        <v>9520279170</v>
      </c>
      <c r="G45" s="131" t="str">
        <f t="shared" si="5"/>
        <v>oman.johnsonco@gmail.com</v>
      </c>
      <c r="H45" s="131" t="str">
        <f t="shared" ca="1" si="3"/>
        <v>F7tmC4L8</v>
      </c>
      <c r="I45" s="136" t="s">
        <v>17</v>
      </c>
      <c r="J45" s="3">
        <v>44501</v>
      </c>
      <c r="K45" s="132">
        <f xml:space="preserve"> _xlfn.XLOOKUP(B45,Transactions!$B$2:$B$301,Transactions!$D$2:$D$301,"Not Found",,-1)</f>
        <v>44515</v>
      </c>
      <c r="L45" s="1">
        <v>14</v>
      </c>
      <c r="M45" s="1" t="s">
        <v>146</v>
      </c>
      <c r="N45" s="1" t="s">
        <v>147</v>
      </c>
      <c r="O45" s="1">
        <v>0.35</v>
      </c>
      <c r="P45" s="1">
        <v>0.15</v>
      </c>
      <c r="Q45" s="1">
        <v>0.5</v>
      </c>
      <c r="R45" s="1" t="s">
        <v>265</v>
      </c>
      <c r="S45" s="133" t="s">
        <v>266</v>
      </c>
      <c r="T45" s="6"/>
    </row>
    <row r="46" spans="1:20" x14ac:dyDescent="0.25">
      <c r="A46" s="47">
        <v>45</v>
      </c>
      <c r="B46" s="1" t="s">
        <v>57</v>
      </c>
      <c r="C46" s="1" t="s">
        <v>267</v>
      </c>
      <c r="D46" s="1" t="s">
        <v>137</v>
      </c>
      <c r="E46" s="1" t="str">
        <f t="shared" ca="1" si="2"/>
        <v>Uys#1667</v>
      </c>
      <c r="F46" s="76">
        <f t="shared" ca="1" si="4"/>
        <v>9434875468</v>
      </c>
      <c r="G46" s="131" t="str">
        <f t="shared" si="5"/>
        <v>uys.johnsonco@gmail.com</v>
      </c>
      <c r="H46" s="131" t="str">
        <f t="shared" ca="1" si="3"/>
        <v>P8gpO3Y3</v>
      </c>
      <c r="I46" s="2" t="s">
        <v>24</v>
      </c>
      <c r="J46" s="3">
        <v>44465</v>
      </c>
      <c r="K46" s="132">
        <f xml:space="preserve"> _xlfn.XLOOKUP(B46,Transactions!$B$2:$B$301,Transactions!$D$2:$D$301,"Not Found",,-1)</f>
        <v>44526</v>
      </c>
      <c r="L46" s="1">
        <v>14</v>
      </c>
      <c r="M46" s="1" t="s">
        <v>146</v>
      </c>
      <c r="N46" s="1" t="s">
        <v>147</v>
      </c>
      <c r="O46" s="1">
        <v>0.25</v>
      </c>
      <c r="P46" s="1">
        <v>0.05</v>
      </c>
      <c r="Q46" s="1">
        <v>0.7</v>
      </c>
      <c r="R46" s="1" t="s">
        <v>268</v>
      </c>
      <c r="S46" s="133" t="s">
        <v>269</v>
      </c>
      <c r="T46" s="6"/>
    </row>
    <row r="47" spans="1:20" x14ac:dyDescent="0.25">
      <c r="A47" s="47">
        <v>46</v>
      </c>
      <c r="B47" s="1" t="s">
        <v>64</v>
      </c>
      <c r="C47" s="1" t="s">
        <v>270</v>
      </c>
      <c r="D47" s="1" t="s">
        <v>137</v>
      </c>
      <c r="E47" s="1" t="str">
        <f t="shared" ca="1" si="2"/>
        <v>Smite#3691</v>
      </c>
      <c r="F47" s="76">
        <f t="shared" ca="1" si="4"/>
        <v>9696273468</v>
      </c>
      <c r="G47" s="131" t="str">
        <f t="shared" si="5"/>
        <v>smite.johnsonco@gmail.com</v>
      </c>
      <c r="H47" s="131" t="str">
        <f t="shared" ca="1" si="3"/>
        <v>E3cnD0X1</v>
      </c>
      <c r="I47" s="2" t="s">
        <v>11</v>
      </c>
      <c r="J47" s="3">
        <v>44537</v>
      </c>
      <c r="K47" s="132">
        <f xml:space="preserve"> _xlfn.XLOOKUP(B47,Transactions!$B$2:$B$301,Transactions!$D$2:$D$301,"Not Found",,-1)</f>
        <v>44551</v>
      </c>
      <c r="L47" s="1">
        <v>14</v>
      </c>
      <c r="M47" s="1" t="s">
        <v>146</v>
      </c>
      <c r="N47" s="1" t="s">
        <v>147</v>
      </c>
      <c r="O47" s="1">
        <v>0.27</v>
      </c>
      <c r="P47" s="1">
        <v>0.03</v>
      </c>
      <c r="Q47" s="1">
        <v>0.7</v>
      </c>
      <c r="R47" s="1" t="s">
        <v>271</v>
      </c>
      <c r="S47" s="133" t="s">
        <v>272</v>
      </c>
      <c r="T47" s="6"/>
    </row>
    <row r="48" spans="1:20" x14ac:dyDescent="0.25">
      <c r="A48" s="47">
        <v>47</v>
      </c>
      <c r="B48" s="1" t="s">
        <v>72</v>
      </c>
      <c r="C48" s="1" t="s">
        <v>273</v>
      </c>
      <c r="D48" s="1" t="s">
        <v>131</v>
      </c>
      <c r="E48" s="1" t="str">
        <f t="shared" ca="1" si="2"/>
        <v>Fore#1174</v>
      </c>
      <c r="F48" s="76">
        <f t="shared" ca="1" si="4"/>
        <v>9723647734</v>
      </c>
      <c r="G48" s="131" t="str">
        <f t="shared" si="5"/>
        <v>fore.grandsn@gmail.com</v>
      </c>
      <c r="H48" s="131" t="str">
        <f t="shared" ca="1" si="3"/>
        <v>N0pgQ5N7</v>
      </c>
      <c r="I48" s="136" t="s">
        <v>145</v>
      </c>
      <c r="J48" s="3">
        <v>44449</v>
      </c>
      <c r="K48" s="132">
        <f xml:space="preserve"> _xlfn.XLOOKUP(B48,Transactions!$B$2:$B$301,Transactions!$D$2:$D$301,"Not Found",,-1)</f>
        <v>44521</v>
      </c>
      <c r="L48" s="1">
        <v>30</v>
      </c>
      <c r="M48" s="1" t="s">
        <v>151</v>
      </c>
      <c r="N48" s="1" t="s">
        <v>152</v>
      </c>
      <c r="O48" s="1">
        <v>0.4</v>
      </c>
      <c r="P48" s="1">
        <v>0.1</v>
      </c>
      <c r="Q48" s="1">
        <v>0.5</v>
      </c>
      <c r="R48" s="1" t="s">
        <v>153</v>
      </c>
      <c r="S48" s="133" t="s">
        <v>274</v>
      </c>
      <c r="T48" s="6"/>
    </row>
    <row r="49" spans="1:20" x14ac:dyDescent="0.25">
      <c r="A49" s="47">
        <v>48</v>
      </c>
      <c r="B49" s="1" t="s">
        <v>76</v>
      </c>
      <c r="C49" s="1" t="s">
        <v>275</v>
      </c>
      <c r="D49" s="1" t="s">
        <v>131</v>
      </c>
      <c r="E49" s="1" t="str">
        <f t="shared" ca="1" si="2"/>
        <v>Vole#6342</v>
      </c>
      <c r="F49" s="76">
        <f t="shared" ca="1" si="4"/>
        <v>9215273716</v>
      </c>
      <c r="G49" s="131" t="str">
        <f t="shared" si="5"/>
        <v>vole.johnsonco@gmail.com</v>
      </c>
      <c r="H49" s="131" t="str">
        <f t="shared" ca="1" si="3"/>
        <v>W5pxZ8B1</v>
      </c>
      <c r="I49" s="2" t="s">
        <v>47</v>
      </c>
      <c r="J49" s="3">
        <v>44564</v>
      </c>
      <c r="K49" s="132">
        <f xml:space="preserve"> _xlfn.XLOOKUP(B49,Transactions!$B$2:$B$301,Transactions!$D$2:$D$301,"Not Found",,-1)</f>
        <v>44578</v>
      </c>
      <c r="L49" s="1">
        <v>14</v>
      </c>
      <c r="M49" s="1" t="s">
        <v>146</v>
      </c>
      <c r="N49" s="1" t="s">
        <v>147</v>
      </c>
      <c r="O49" s="1">
        <v>0.27</v>
      </c>
      <c r="P49" s="1">
        <v>0.03</v>
      </c>
      <c r="Q49" s="1">
        <v>0.7</v>
      </c>
      <c r="R49" s="1" t="s">
        <v>220</v>
      </c>
      <c r="S49" s="133" t="s">
        <v>221</v>
      </c>
      <c r="T49" s="6"/>
    </row>
    <row r="50" spans="1:20" x14ac:dyDescent="0.25">
      <c r="A50" s="47">
        <v>49</v>
      </c>
      <c r="B50" s="1" t="s">
        <v>80</v>
      </c>
      <c r="C50" s="1" t="s">
        <v>276</v>
      </c>
      <c r="D50" s="1" t="s">
        <v>131</v>
      </c>
      <c r="E50" s="1" t="str">
        <f t="shared" ca="1" si="2"/>
        <v>Dinn#5794</v>
      </c>
      <c r="F50" s="76">
        <f t="shared" ca="1" si="4"/>
        <v>9231847861</v>
      </c>
      <c r="G50" s="131" t="str">
        <f t="shared" si="5"/>
        <v>dinn.johnsonco@gmail.com</v>
      </c>
      <c r="H50" s="131" t="str">
        <f t="shared" ca="1" si="3"/>
        <v>U8ngE5C3</v>
      </c>
      <c r="I50" s="2" t="s">
        <v>90</v>
      </c>
      <c r="J50" s="3">
        <v>44465</v>
      </c>
      <c r="K50" s="132">
        <f xml:space="preserve"> _xlfn.XLOOKUP(B50,Transactions!$B$2:$B$301,Transactions!$D$2:$D$301,"Not Found",,-1)</f>
        <v>44549</v>
      </c>
      <c r="L50" s="1">
        <v>14</v>
      </c>
      <c r="M50" s="1" t="s">
        <v>146</v>
      </c>
      <c r="N50" s="1" t="s">
        <v>147</v>
      </c>
      <c r="O50" s="1">
        <v>0.35</v>
      </c>
      <c r="P50" s="1">
        <v>0.15</v>
      </c>
      <c r="Q50" s="1">
        <v>0.5</v>
      </c>
      <c r="R50" s="1" t="s">
        <v>189</v>
      </c>
      <c r="S50" s="133" t="s">
        <v>277</v>
      </c>
      <c r="T50" s="6"/>
    </row>
    <row r="51" spans="1:20" x14ac:dyDescent="0.25">
      <c r="A51" s="47"/>
      <c r="B51" s="1"/>
      <c r="C51" s="1"/>
      <c r="D51" s="1"/>
      <c r="E51" s="1"/>
      <c r="F51" s="76"/>
      <c r="G51" s="131"/>
      <c r="H51" s="131"/>
      <c r="I51" s="1"/>
      <c r="J51" s="1"/>
      <c r="K51" s="132"/>
      <c r="L51" s="1"/>
      <c r="M51" s="1"/>
      <c r="N51" s="1"/>
      <c r="O51" s="1"/>
      <c r="P51" s="1"/>
      <c r="Q51" s="1"/>
      <c r="R51" s="1"/>
      <c r="S51" s="1"/>
    </row>
    <row r="52" spans="1:20" x14ac:dyDescent="0.25">
      <c r="I52" s="5"/>
      <c r="M52" s="5"/>
    </row>
    <row r="53" spans="1:20" x14ac:dyDescent="0.25">
      <c r="I53" s="5"/>
      <c r="M53" s="5"/>
    </row>
    <row r="54" spans="1:20" x14ac:dyDescent="0.25">
      <c r="I54" s="5"/>
      <c r="M54" s="5"/>
    </row>
    <row r="55" spans="1:20" x14ac:dyDescent="0.25">
      <c r="I55" s="5"/>
      <c r="M55" s="5"/>
    </row>
    <row r="56" spans="1:20" x14ac:dyDescent="0.25">
      <c r="I56" s="5"/>
      <c r="M56" s="5"/>
    </row>
    <row r="57" spans="1:20" x14ac:dyDescent="0.25">
      <c r="I57" s="5"/>
      <c r="M57" s="5"/>
    </row>
    <row r="58" spans="1:20" x14ac:dyDescent="0.25">
      <c r="I58" s="5"/>
      <c r="M58" s="5"/>
    </row>
    <row r="59" spans="1:20" x14ac:dyDescent="0.25">
      <c r="I59" s="5"/>
      <c r="M59" s="5"/>
    </row>
    <row r="60" spans="1:20" x14ac:dyDescent="0.25">
      <c r="I60" s="5"/>
      <c r="M60" s="5"/>
    </row>
    <row r="61" spans="1:20" x14ac:dyDescent="0.25">
      <c r="I61" s="5"/>
      <c r="M61" s="5"/>
    </row>
    <row r="62" spans="1:20" x14ac:dyDescent="0.25">
      <c r="I62" s="5"/>
      <c r="M62" s="5"/>
    </row>
    <row r="63" spans="1:20" x14ac:dyDescent="0.25">
      <c r="I63" s="5"/>
      <c r="M63" s="5"/>
    </row>
    <row r="64" spans="1:20" x14ac:dyDescent="0.25">
      <c r="I64" s="5"/>
      <c r="M64" s="5"/>
    </row>
    <row r="65" s="5" customFormat="1" x14ac:dyDescent="0.25"/>
    <row r="66" s="5" customFormat="1" x14ac:dyDescent="0.25"/>
    <row r="67" s="5" customFormat="1" x14ac:dyDescent="0.25"/>
    <row r="68" s="5" customFormat="1" x14ac:dyDescent="0.25"/>
    <row r="69" s="5" customFormat="1" x14ac:dyDescent="0.25"/>
    <row r="70" s="5" customFormat="1" x14ac:dyDescent="0.25"/>
    <row r="71" s="5" customFormat="1" x14ac:dyDescent="0.25"/>
    <row r="72" s="5" customFormat="1" x14ac:dyDescent="0.25"/>
    <row r="73" s="5" customFormat="1" x14ac:dyDescent="0.25"/>
    <row r="74" s="5" customFormat="1" x14ac:dyDescent="0.25"/>
    <row r="75" s="5" customFormat="1" x14ac:dyDescent="0.25"/>
    <row r="76" s="5" customFormat="1" x14ac:dyDescent="0.25"/>
    <row r="77" s="5" customFormat="1" x14ac:dyDescent="0.25"/>
    <row r="78" s="5" customFormat="1" x14ac:dyDescent="0.25"/>
    <row r="79" s="5" customFormat="1" x14ac:dyDescent="0.25"/>
    <row r="80" s="5" customFormat="1" x14ac:dyDescent="0.25"/>
  </sheetData>
  <sortState xmlns:xlrd2="http://schemas.microsoft.com/office/spreadsheetml/2017/richdata2" ref="B5:S50">
    <sortCondition ref="J5:J50" customList="January,February,March,April,May,June,July,August,September,October,November,December"/>
  </sortState>
  <conditionalFormatting sqref="G2:G51">
    <cfRule type="duplicateValues" dxfId="7" priority="1"/>
  </conditionalFormatting>
  <hyperlinks>
    <hyperlink ref="S2" r:id="rId1" xr:uid="{C1EED310-5907-4061-B1AE-1B37DD34A735}"/>
    <hyperlink ref="S14" r:id="rId2" xr:uid="{D524B13D-7406-4969-BF6C-6E1E372A53F0}"/>
    <hyperlink ref="S10" r:id="rId3" xr:uid="{A68EED25-71E1-4367-BB31-C99D458FA71E}"/>
    <hyperlink ref="S17" r:id="rId4" xr:uid="{5E55EA61-9478-489D-923B-35694F27EA8F}"/>
    <hyperlink ref="S11" r:id="rId5" xr:uid="{6DF01E1A-5045-434B-93C2-80E4499B90FD}"/>
    <hyperlink ref="S38" r:id="rId6" xr:uid="{03AD8F26-920A-4314-AC29-EA96B288E12B}"/>
    <hyperlink ref="S26" r:id="rId7" xr:uid="{8ACADA91-A37D-4E32-A195-775FADE384E6}"/>
    <hyperlink ref="S29" r:id="rId8" xr:uid="{0F0E6980-AA1D-4EE5-8660-6E94E28D93D6}"/>
    <hyperlink ref="S23" r:id="rId9" xr:uid="{ABA2A8D8-F554-4041-BA75-D38FD666510E}"/>
    <hyperlink ref="S24" r:id="rId10" xr:uid="{D1C1B8E8-CA42-472D-BD14-42973FBC9673}"/>
    <hyperlink ref="S34" r:id="rId11" xr:uid="{052BE446-E401-4F62-A033-D17BB2986C9C}"/>
    <hyperlink ref="S5" r:id="rId12" xr:uid="{770CC26C-189D-47AB-8091-FB96B75D8359}"/>
    <hyperlink ref="S50" r:id="rId13" xr:uid="{7F755636-D450-4856-BDEB-7702E57A54B0}"/>
    <hyperlink ref="S18" r:id="rId14" xr:uid="{065BDF18-56B2-4E8F-A935-6E40A4301CFB}"/>
    <hyperlink ref="S19" r:id="rId15" xr:uid="{156050D1-F2EC-448A-B491-70DAB52D2D1A}"/>
    <hyperlink ref="S20" r:id="rId16" xr:uid="{2037017F-3F61-4CC8-973C-C51D2816AE60}"/>
    <hyperlink ref="S21" r:id="rId17" xr:uid="{6AFE14B8-77BD-4E20-8691-43AF6EBB7700}"/>
    <hyperlink ref="S44" r:id="rId18" xr:uid="{84B000CE-FBE7-4A18-9E85-488BB968176F}"/>
    <hyperlink ref="S3" r:id="rId19" xr:uid="{997862DC-E22D-4410-B009-CA6F0B9AEE81}"/>
    <hyperlink ref="S25" r:id="rId20" xr:uid="{15D68FBC-6467-46E9-916D-2BF14D1CB324}"/>
    <hyperlink ref="S27" r:id="rId21" xr:uid="{4B4FBA27-AEBE-42D9-B746-E4DB9C38AD72}"/>
    <hyperlink ref="S30" r:id="rId22" xr:uid="{4BE50F4E-26EC-4359-A704-E39ABA9FC0CE}"/>
    <hyperlink ref="S35" r:id="rId23" xr:uid="{6FF1BD1C-80C4-45D5-9834-3D4F4B91429D}"/>
    <hyperlink ref="S40" r:id="rId24" xr:uid="{D21BC93D-8767-4D16-A6E6-A82704D526D3}"/>
    <hyperlink ref="S45" r:id="rId25" xr:uid="{E57E298A-E056-43E7-B9AB-7C0E63B5E334}"/>
    <hyperlink ref="S46" r:id="rId26" xr:uid="{BE51C7EB-F7C5-4A6A-B8A8-FF4649A23720}"/>
    <hyperlink ref="S47" r:id="rId27" xr:uid="{B28FBE2B-90FF-4FA1-9B41-C5D64FD3A862}"/>
    <hyperlink ref="S48" r:id="rId28" xr:uid="{2E9E3D29-3347-4F91-915B-A4C0D06F6643}"/>
    <hyperlink ref="S49" r:id="rId29" xr:uid="{50DAA741-5B6E-4E58-BE47-B78827FCC54C}"/>
  </hyperlinks>
  <pageMargins left="0.7" right="0.7" top="0.75" bottom="0.75" header="0.3" footer="0.3"/>
  <pageSetup orientation="portrait" r:id="rId30"/>
  <legacyDrawing r:id="rId31"/>
  <tableParts count="1">
    <tablePart r:id="rId3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B1096-180A-47C1-9B20-5CDD39D42413}">
  <sheetPr codeName="Sheet3"/>
  <dimension ref="A1:F51"/>
  <sheetViews>
    <sheetView workbookViewId="0">
      <pane ySplit="1" topLeftCell="A2" activePane="bottomLeft" state="frozen"/>
      <selection pane="bottomLeft" activeCell="G28" sqref="G28"/>
    </sheetView>
  </sheetViews>
  <sheetFormatPr defaultRowHeight="16.5" x14ac:dyDescent="0.3"/>
  <cols>
    <col min="1" max="1" width="17.28515625" style="4" bestFit="1" customWidth="1"/>
    <col min="2" max="2" width="18.7109375" style="4" bestFit="1" customWidth="1"/>
    <col min="3" max="3" width="11.5703125" style="4" bestFit="1" customWidth="1"/>
    <col min="4" max="4" width="17.42578125" style="4" bestFit="1" customWidth="1"/>
    <col min="5" max="5" width="47.28515625" style="4" bestFit="1" customWidth="1"/>
    <col min="6" max="6" width="19.28515625" style="4" bestFit="1" customWidth="1"/>
    <col min="7" max="7" width="18" style="4" customWidth="1"/>
    <col min="8" max="16384" width="9.140625" style="4"/>
  </cols>
  <sheetData>
    <row r="1" spans="1:6" ht="18" thickBot="1" x14ac:dyDescent="0.35">
      <c r="A1" s="247" t="s">
        <v>112</v>
      </c>
      <c r="B1" s="247" t="s">
        <v>113</v>
      </c>
      <c r="C1" s="247" t="s">
        <v>278</v>
      </c>
      <c r="D1" s="247" t="s">
        <v>279</v>
      </c>
      <c r="E1" s="247" t="s">
        <v>280</v>
      </c>
      <c r="F1" s="247" t="s">
        <v>281</v>
      </c>
    </row>
    <row r="2" spans="1:6" ht="17.25" thickTop="1" x14ac:dyDescent="0.3">
      <c r="A2" s="119">
        <v>1</v>
      </c>
      <c r="B2" s="120" t="s">
        <v>5</v>
      </c>
      <c r="C2" s="120" t="s">
        <v>282</v>
      </c>
      <c r="D2" s="120" t="s">
        <v>130</v>
      </c>
      <c r="E2" s="121" t="s">
        <v>134</v>
      </c>
      <c r="F2" s="122">
        <f ca="1">RANDBETWEEN(9000000000,9999999999)</f>
        <v>9217395140</v>
      </c>
    </row>
    <row r="3" spans="1:6" x14ac:dyDescent="0.3">
      <c r="A3" s="123">
        <v>2</v>
      </c>
      <c r="B3" s="118" t="s">
        <v>11</v>
      </c>
      <c r="C3" s="118" t="s">
        <v>283</v>
      </c>
      <c r="D3" s="118" t="s">
        <v>136</v>
      </c>
      <c r="E3" s="124">
        <f ca="1">RANDBETWEEN(9000000000,9999999999)</f>
        <v>9236334989</v>
      </c>
      <c r="F3" s="125" t="s">
        <v>284</v>
      </c>
    </row>
    <row r="4" spans="1:6" x14ac:dyDescent="0.3">
      <c r="A4" s="123">
        <v>3</v>
      </c>
      <c r="B4" s="126" t="s">
        <v>17</v>
      </c>
      <c r="C4" s="118" t="s">
        <v>282</v>
      </c>
      <c r="D4" s="118" t="s">
        <v>141</v>
      </c>
      <c r="E4" s="127" t="s">
        <v>142</v>
      </c>
      <c r="F4" s="125">
        <f t="shared" ref="F4:F49" ca="1" si="0">RANDBETWEEN(9000000000,9999999999)</f>
        <v>9136728262</v>
      </c>
    </row>
    <row r="5" spans="1:6" x14ac:dyDescent="0.3">
      <c r="A5" s="123">
        <v>4</v>
      </c>
      <c r="B5" s="118" t="s">
        <v>23</v>
      </c>
      <c r="C5" s="118" t="s">
        <v>282</v>
      </c>
      <c r="D5" s="118" t="s">
        <v>144</v>
      </c>
      <c r="E5" s="127" t="s">
        <v>285</v>
      </c>
      <c r="F5" s="125">
        <f t="shared" ca="1" si="0"/>
        <v>9042468402</v>
      </c>
    </row>
    <row r="6" spans="1:6" x14ac:dyDescent="0.3">
      <c r="A6" s="123">
        <v>5</v>
      </c>
      <c r="B6" s="118" t="s">
        <v>27</v>
      </c>
      <c r="C6" s="118" t="s">
        <v>283</v>
      </c>
      <c r="D6" s="118" t="s">
        <v>150</v>
      </c>
      <c r="E6" s="124">
        <f ca="1">RANDBETWEEN(9000000000,9999999999)</f>
        <v>9289003655</v>
      </c>
      <c r="F6" s="125" t="s">
        <v>284</v>
      </c>
    </row>
    <row r="7" spans="1:6" x14ac:dyDescent="0.3">
      <c r="A7" s="123">
        <v>6</v>
      </c>
      <c r="B7" s="118" t="s">
        <v>31</v>
      </c>
      <c r="C7" s="118" t="s">
        <v>282</v>
      </c>
      <c r="D7" s="118" t="s">
        <v>155</v>
      </c>
      <c r="E7" s="127" t="s">
        <v>286</v>
      </c>
      <c r="F7" s="125">
        <f t="shared" ca="1" si="0"/>
        <v>9542111596</v>
      </c>
    </row>
    <row r="8" spans="1:6" x14ac:dyDescent="0.3">
      <c r="A8" s="123">
        <v>7</v>
      </c>
      <c r="B8" s="118" t="s">
        <v>36</v>
      </c>
      <c r="C8" s="118" t="s">
        <v>283</v>
      </c>
      <c r="D8" s="118" t="s">
        <v>160</v>
      </c>
      <c r="E8" s="124">
        <f ca="1">RANDBETWEEN(9000000000,9999999999)</f>
        <v>9247774404</v>
      </c>
      <c r="F8" s="125" t="s">
        <v>284</v>
      </c>
    </row>
    <row r="9" spans="1:6" x14ac:dyDescent="0.3">
      <c r="A9" s="123">
        <v>8</v>
      </c>
      <c r="B9" s="118" t="s">
        <v>41</v>
      </c>
      <c r="C9" s="118" t="s">
        <v>282</v>
      </c>
      <c r="D9" s="118" t="s">
        <v>163</v>
      </c>
      <c r="E9" s="127" t="s">
        <v>139</v>
      </c>
      <c r="F9" s="125">
        <f t="shared" ca="1" si="0"/>
        <v>9364278081</v>
      </c>
    </row>
    <row r="10" spans="1:6" x14ac:dyDescent="0.3">
      <c r="A10" s="123">
        <v>9</v>
      </c>
      <c r="B10" s="118" t="s">
        <v>46</v>
      </c>
      <c r="C10" s="118" t="s">
        <v>282</v>
      </c>
      <c r="D10" s="118" t="s">
        <v>168</v>
      </c>
      <c r="E10" s="127" t="s">
        <v>169</v>
      </c>
      <c r="F10" s="125">
        <f t="shared" ca="1" si="0"/>
        <v>9245971344</v>
      </c>
    </row>
    <row r="11" spans="1:6" x14ac:dyDescent="0.3">
      <c r="A11" s="123">
        <v>10</v>
      </c>
      <c r="B11" s="118" t="s">
        <v>51</v>
      </c>
      <c r="C11" s="118" t="s">
        <v>282</v>
      </c>
      <c r="D11" s="118" t="s">
        <v>171</v>
      </c>
      <c r="E11" s="127" t="s">
        <v>287</v>
      </c>
      <c r="F11" s="125" t="s">
        <v>284</v>
      </c>
    </row>
    <row r="12" spans="1:6" x14ac:dyDescent="0.3">
      <c r="A12" s="123">
        <v>11</v>
      </c>
      <c r="B12" s="118" t="s">
        <v>55</v>
      </c>
      <c r="C12" s="118" t="s">
        <v>282</v>
      </c>
      <c r="D12" s="118" t="s">
        <v>176</v>
      </c>
      <c r="E12" s="127" t="s">
        <v>169</v>
      </c>
      <c r="F12" s="125" t="s">
        <v>284</v>
      </c>
    </row>
    <row r="13" spans="1:6" x14ac:dyDescent="0.3">
      <c r="A13" s="123">
        <v>12</v>
      </c>
      <c r="B13" s="118" t="s">
        <v>62</v>
      </c>
      <c r="C13" s="118" t="s">
        <v>282</v>
      </c>
      <c r="D13" s="118" t="s">
        <v>177</v>
      </c>
      <c r="E13" s="127" t="s">
        <v>178</v>
      </c>
      <c r="F13" s="125" t="s">
        <v>284</v>
      </c>
    </row>
    <row r="14" spans="1:6" x14ac:dyDescent="0.3">
      <c r="A14" s="123">
        <v>13</v>
      </c>
      <c r="B14" s="118" t="s">
        <v>70</v>
      </c>
      <c r="C14" s="118" t="s">
        <v>282</v>
      </c>
      <c r="D14" s="118" t="s">
        <v>180</v>
      </c>
      <c r="E14" s="127" t="s">
        <v>181</v>
      </c>
      <c r="F14" s="125" t="s">
        <v>284</v>
      </c>
    </row>
    <row r="15" spans="1:6" x14ac:dyDescent="0.3">
      <c r="A15" s="123">
        <v>14</v>
      </c>
      <c r="B15" s="118" t="s">
        <v>74</v>
      </c>
      <c r="C15" s="118" t="s">
        <v>282</v>
      </c>
      <c r="D15" s="118" t="s">
        <v>183</v>
      </c>
      <c r="E15" s="127" t="s">
        <v>238</v>
      </c>
      <c r="F15" s="125" t="s">
        <v>284</v>
      </c>
    </row>
    <row r="16" spans="1:6" x14ac:dyDescent="0.3">
      <c r="A16" s="123">
        <v>15</v>
      </c>
      <c r="B16" s="118" t="s">
        <v>78</v>
      </c>
      <c r="C16" s="118" t="s">
        <v>282</v>
      </c>
      <c r="D16" s="118" t="s">
        <v>188</v>
      </c>
      <c r="E16" s="127" t="s">
        <v>268</v>
      </c>
      <c r="F16" s="125" t="s">
        <v>284</v>
      </c>
    </row>
    <row r="17" spans="1:6" x14ac:dyDescent="0.3">
      <c r="A17" s="123">
        <v>16</v>
      </c>
      <c r="B17" s="118" t="s">
        <v>90</v>
      </c>
      <c r="C17" s="118" t="s">
        <v>282</v>
      </c>
      <c r="D17" s="118" t="s">
        <v>191</v>
      </c>
      <c r="E17" s="127" t="s">
        <v>288</v>
      </c>
      <c r="F17" s="125" t="s">
        <v>284</v>
      </c>
    </row>
    <row r="18" spans="1:6" x14ac:dyDescent="0.3">
      <c r="A18" s="123">
        <v>17</v>
      </c>
      <c r="B18" s="118" t="s">
        <v>92</v>
      </c>
      <c r="C18" s="118" t="s">
        <v>289</v>
      </c>
      <c r="D18" s="118" t="s">
        <v>194</v>
      </c>
      <c r="E18" s="127" t="str">
        <f ca="1">TEXT(RANDBETWEEN(1111111111111110,9999999999999990),"#### #### #### ####")</f>
        <v>4075 2873 1921 8000</v>
      </c>
      <c r="F18" s="125">
        <f t="shared" ca="1" si="0"/>
        <v>9692289833</v>
      </c>
    </row>
    <row r="19" spans="1:6" x14ac:dyDescent="0.3">
      <c r="A19" s="123">
        <v>18</v>
      </c>
      <c r="B19" s="118" t="s">
        <v>6</v>
      </c>
      <c r="C19" s="118" t="s">
        <v>283</v>
      </c>
      <c r="D19" s="118" t="s">
        <v>197</v>
      </c>
      <c r="E19" s="124">
        <f ca="1">RANDBETWEEN(9000000000,9999999999)</f>
        <v>9238924695</v>
      </c>
      <c r="F19" s="125" t="s">
        <v>284</v>
      </c>
    </row>
    <row r="20" spans="1:6" x14ac:dyDescent="0.3">
      <c r="A20" s="123">
        <v>19</v>
      </c>
      <c r="B20" s="118" t="s">
        <v>12</v>
      </c>
      <c r="C20" s="118" t="s">
        <v>283</v>
      </c>
      <c r="D20" s="118" t="s">
        <v>200</v>
      </c>
      <c r="E20" s="124">
        <f ca="1">RANDBETWEEN(9000000000,9999999999)</f>
        <v>9196301233</v>
      </c>
      <c r="F20" s="125" t="s">
        <v>284</v>
      </c>
    </row>
    <row r="21" spans="1:6" x14ac:dyDescent="0.3">
      <c r="A21" s="123">
        <v>20</v>
      </c>
      <c r="B21" s="118" t="s">
        <v>18</v>
      </c>
      <c r="C21" s="118" t="s">
        <v>282</v>
      </c>
      <c r="D21" s="118" t="s">
        <v>203</v>
      </c>
      <c r="E21" s="127" t="s">
        <v>238</v>
      </c>
      <c r="F21" s="125" t="s">
        <v>284</v>
      </c>
    </row>
    <row r="22" spans="1:6" x14ac:dyDescent="0.3">
      <c r="A22" s="123">
        <v>21</v>
      </c>
      <c r="B22" s="118" t="s">
        <v>24</v>
      </c>
      <c r="C22" s="118" t="s">
        <v>282</v>
      </c>
      <c r="D22" s="118" t="s">
        <v>206</v>
      </c>
      <c r="E22" s="127" t="s">
        <v>252</v>
      </c>
      <c r="F22" s="125" t="s">
        <v>284</v>
      </c>
    </row>
    <row r="23" spans="1:6" x14ac:dyDescent="0.3">
      <c r="A23" s="123">
        <v>22</v>
      </c>
      <c r="B23" s="118" t="s">
        <v>28</v>
      </c>
      <c r="C23" s="118" t="s">
        <v>282</v>
      </c>
      <c r="D23" s="118" t="s">
        <v>208</v>
      </c>
      <c r="E23" s="127" t="s">
        <v>252</v>
      </c>
      <c r="F23" s="125" t="s">
        <v>284</v>
      </c>
    </row>
    <row r="24" spans="1:6" x14ac:dyDescent="0.3">
      <c r="A24" s="123">
        <v>23</v>
      </c>
      <c r="B24" s="118" t="s">
        <v>32</v>
      </c>
      <c r="C24" s="118" t="s">
        <v>282</v>
      </c>
      <c r="D24" s="118" t="s">
        <v>209</v>
      </c>
      <c r="E24" s="127" t="s">
        <v>268</v>
      </c>
      <c r="F24" s="125" t="s">
        <v>284</v>
      </c>
    </row>
    <row r="25" spans="1:6" x14ac:dyDescent="0.3">
      <c r="A25" s="123">
        <v>24</v>
      </c>
      <c r="B25" s="118" t="s">
        <v>37</v>
      </c>
      <c r="C25" s="118" t="s">
        <v>283</v>
      </c>
      <c r="D25" s="118" t="s">
        <v>212</v>
      </c>
      <c r="E25" s="124">
        <f ca="1">RANDBETWEEN(9000000000,9999999999)</f>
        <v>9157333794</v>
      </c>
      <c r="F25" s="125" t="s">
        <v>284</v>
      </c>
    </row>
    <row r="26" spans="1:6" x14ac:dyDescent="0.3">
      <c r="A26" s="123">
        <v>25</v>
      </c>
      <c r="B26" s="118" t="s">
        <v>42</v>
      </c>
      <c r="C26" s="118" t="s">
        <v>282</v>
      </c>
      <c r="D26" s="118" t="s">
        <v>217</v>
      </c>
      <c r="E26" s="127" t="s">
        <v>271</v>
      </c>
      <c r="F26" s="125" t="s">
        <v>284</v>
      </c>
    </row>
    <row r="27" spans="1:6" x14ac:dyDescent="0.3">
      <c r="A27" s="123">
        <v>26</v>
      </c>
      <c r="B27" s="118" t="s">
        <v>47</v>
      </c>
      <c r="C27" s="118" t="s">
        <v>290</v>
      </c>
      <c r="D27" s="118" t="s">
        <v>291</v>
      </c>
      <c r="E27" s="127" t="str">
        <f ca="1">TEXT(RANDBETWEEN(1111111111111110,9999999999999990),"#### #### #### ####")</f>
        <v>5499 4858 9779 0370</v>
      </c>
      <c r="F27" s="125">
        <f t="shared" ca="1" si="0"/>
        <v>9038015120</v>
      </c>
    </row>
    <row r="28" spans="1:6" x14ac:dyDescent="0.3">
      <c r="A28" s="123">
        <v>27</v>
      </c>
      <c r="B28" s="118" t="s">
        <v>52</v>
      </c>
      <c r="C28" s="118" t="s">
        <v>282</v>
      </c>
      <c r="D28" s="118" t="s">
        <v>222</v>
      </c>
      <c r="E28" s="127" t="s">
        <v>229</v>
      </c>
      <c r="F28" s="125" t="s">
        <v>284</v>
      </c>
    </row>
    <row r="29" spans="1:6" x14ac:dyDescent="0.3">
      <c r="A29" s="123">
        <v>28</v>
      </c>
      <c r="B29" s="118" t="s">
        <v>56</v>
      </c>
      <c r="C29" s="118" t="s">
        <v>282</v>
      </c>
      <c r="D29" s="118" t="s">
        <v>227</v>
      </c>
      <c r="E29" s="127" t="s">
        <v>229</v>
      </c>
      <c r="F29" s="125" t="s">
        <v>284</v>
      </c>
    </row>
    <row r="30" spans="1:6" x14ac:dyDescent="0.3">
      <c r="A30" s="123">
        <v>29</v>
      </c>
      <c r="B30" s="118" t="s">
        <v>63</v>
      </c>
      <c r="C30" s="118" t="s">
        <v>292</v>
      </c>
      <c r="D30" s="118" t="s">
        <v>228</v>
      </c>
      <c r="E30" s="127" t="str">
        <f ca="1">TEXT(RANDBETWEEN(1111111111111110,9999999999999990),"#### #### #### ####")</f>
        <v>9530 4699 7575 2500</v>
      </c>
      <c r="F30" s="125">
        <f t="shared" ca="1" si="0"/>
        <v>9791650894</v>
      </c>
    </row>
    <row r="31" spans="1:6" x14ac:dyDescent="0.3">
      <c r="A31" s="123">
        <v>30</v>
      </c>
      <c r="B31" s="118" t="s">
        <v>71</v>
      </c>
      <c r="C31" s="118" t="s">
        <v>282</v>
      </c>
      <c r="D31" s="118" t="s">
        <v>231</v>
      </c>
      <c r="E31" s="127" t="s">
        <v>268</v>
      </c>
      <c r="F31" s="125" t="s">
        <v>284</v>
      </c>
    </row>
    <row r="32" spans="1:6" x14ac:dyDescent="0.3">
      <c r="A32" s="123">
        <v>31</v>
      </c>
      <c r="B32" s="118" t="s">
        <v>75</v>
      </c>
      <c r="C32" s="118" t="s">
        <v>282</v>
      </c>
      <c r="D32" s="118" t="s">
        <v>232</v>
      </c>
      <c r="E32" s="127" t="s">
        <v>293</v>
      </c>
      <c r="F32" s="125" t="s">
        <v>284</v>
      </c>
    </row>
    <row r="33" spans="1:6" x14ac:dyDescent="0.3">
      <c r="A33" s="123">
        <v>32</v>
      </c>
      <c r="B33" s="118" t="s">
        <v>79</v>
      </c>
      <c r="C33" s="118" t="s">
        <v>282</v>
      </c>
      <c r="D33" s="118" t="s">
        <v>235</v>
      </c>
      <c r="E33" s="127" t="s">
        <v>294</v>
      </c>
      <c r="F33" s="125" t="s">
        <v>284</v>
      </c>
    </row>
    <row r="34" spans="1:6" x14ac:dyDescent="0.3">
      <c r="A34" s="123">
        <v>33</v>
      </c>
      <c r="B34" s="118" t="s">
        <v>91</v>
      </c>
      <c r="C34" s="118" t="s">
        <v>282</v>
      </c>
      <c r="D34" s="118" t="s">
        <v>236</v>
      </c>
      <c r="E34" s="127" t="s">
        <v>293</v>
      </c>
      <c r="F34" s="125" t="s">
        <v>284</v>
      </c>
    </row>
    <row r="35" spans="1:6" x14ac:dyDescent="0.3">
      <c r="A35" s="123">
        <v>34</v>
      </c>
      <c r="B35" s="118" t="s">
        <v>93</v>
      </c>
      <c r="C35" s="118" t="s">
        <v>292</v>
      </c>
      <c r="D35" s="118" t="s">
        <v>237</v>
      </c>
      <c r="E35" s="127" t="str">
        <f ca="1">TEXT(RANDBETWEEN(1111111111111110,9999999999999990),"#### #### #### ####")</f>
        <v>1499 1513 6189 6480</v>
      </c>
      <c r="F35" s="125">
        <f t="shared" ca="1" si="0"/>
        <v>9959059142</v>
      </c>
    </row>
    <row r="36" spans="1:6" x14ac:dyDescent="0.3">
      <c r="A36" s="123">
        <v>35</v>
      </c>
      <c r="B36" s="118" t="s">
        <v>7</v>
      </c>
      <c r="C36" s="118" t="s">
        <v>282</v>
      </c>
      <c r="D36" s="118" t="s">
        <v>240</v>
      </c>
      <c r="E36" s="127" t="s">
        <v>295</v>
      </c>
      <c r="F36" s="125" t="s">
        <v>284</v>
      </c>
    </row>
    <row r="37" spans="1:6" x14ac:dyDescent="0.3">
      <c r="A37" s="123">
        <v>36</v>
      </c>
      <c r="B37" s="118" t="s">
        <v>13</v>
      </c>
      <c r="C37" s="118" t="s">
        <v>282</v>
      </c>
      <c r="D37" s="118" t="s">
        <v>241</v>
      </c>
      <c r="E37" s="127" t="s">
        <v>296</v>
      </c>
      <c r="F37" s="125" t="s">
        <v>284</v>
      </c>
    </row>
    <row r="38" spans="1:6" x14ac:dyDescent="0.3">
      <c r="A38" s="123">
        <v>37</v>
      </c>
      <c r="B38" s="118" t="s">
        <v>19</v>
      </c>
      <c r="C38" s="118" t="s">
        <v>282</v>
      </c>
      <c r="D38" s="118" t="s">
        <v>246</v>
      </c>
      <c r="E38" s="127" t="s">
        <v>296</v>
      </c>
      <c r="F38" s="125" t="s">
        <v>284</v>
      </c>
    </row>
    <row r="39" spans="1:6" x14ac:dyDescent="0.3">
      <c r="A39" s="123">
        <v>38</v>
      </c>
      <c r="B39" s="118" t="s">
        <v>25</v>
      </c>
      <c r="C39" s="118" t="s">
        <v>282</v>
      </c>
      <c r="D39" s="118" t="s">
        <v>247</v>
      </c>
      <c r="E39" s="127" t="s">
        <v>297</v>
      </c>
      <c r="F39" s="125" t="s">
        <v>284</v>
      </c>
    </row>
    <row r="40" spans="1:6" x14ac:dyDescent="0.3">
      <c r="A40" s="123">
        <v>39</v>
      </c>
      <c r="B40" s="118" t="s">
        <v>29</v>
      </c>
      <c r="C40" s="118" t="s">
        <v>298</v>
      </c>
      <c r="D40" s="118" t="s">
        <v>299</v>
      </c>
      <c r="E40" s="127" t="str">
        <f ca="1">TEXT(RANDBETWEEN(1111111111111110,9999999999999990),"#### #### #### ####")</f>
        <v>2062 9740 6563 1120</v>
      </c>
      <c r="F40" s="125">
        <f t="shared" ca="1" si="0"/>
        <v>9274212780</v>
      </c>
    </row>
    <row r="41" spans="1:6" x14ac:dyDescent="0.3">
      <c r="A41" s="123">
        <v>40</v>
      </c>
      <c r="B41" s="118" t="s">
        <v>33</v>
      </c>
      <c r="C41" s="118" t="s">
        <v>282</v>
      </c>
      <c r="D41" s="118" t="s">
        <v>254</v>
      </c>
      <c r="E41" s="127" t="s">
        <v>255</v>
      </c>
      <c r="F41" s="125" t="s">
        <v>284</v>
      </c>
    </row>
    <row r="42" spans="1:6" x14ac:dyDescent="0.3">
      <c r="A42" s="123">
        <v>41</v>
      </c>
      <c r="B42" s="118" t="s">
        <v>38</v>
      </c>
      <c r="C42" s="118" t="s">
        <v>282</v>
      </c>
      <c r="D42" s="118" t="s">
        <v>257</v>
      </c>
      <c r="E42" s="127" t="s">
        <v>300</v>
      </c>
      <c r="F42" s="125" t="s">
        <v>284</v>
      </c>
    </row>
    <row r="43" spans="1:6" x14ac:dyDescent="0.3">
      <c r="A43" s="123">
        <v>42</v>
      </c>
      <c r="B43" s="118" t="s">
        <v>43</v>
      </c>
      <c r="C43" s="118" t="s">
        <v>282</v>
      </c>
      <c r="D43" s="118" t="s">
        <v>260</v>
      </c>
      <c r="E43" s="127" t="s">
        <v>301</v>
      </c>
      <c r="F43" s="125" t="s">
        <v>284</v>
      </c>
    </row>
    <row r="44" spans="1:6" x14ac:dyDescent="0.3">
      <c r="A44" s="123">
        <v>43</v>
      </c>
      <c r="B44" s="118" t="s">
        <v>48</v>
      </c>
      <c r="C44" s="118" t="s">
        <v>283</v>
      </c>
      <c r="D44" s="118" t="s">
        <v>263</v>
      </c>
      <c r="E44" s="124">
        <f ca="1">RANDBETWEEN(9000000000,9999999999)</f>
        <v>9647318398</v>
      </c>
      <c r="F44" s="125" t="s">
        <v>284</v>
      </c>
    </row>
    <row r="45" spans="1:6" x14ac:dyDescent="0.3">
      <c r="A45" s="123">
        <v>44</v>
      </c>
      <c r="B45" s="118" t="s">
        <v>53</v>
      </c>
      <c r="C45" s="118" t="s">
        <v>282</v>
      </c>
      <c r="D45" s="118" t="s">
        <v>264</v>
      </c>
      <c r="E45" s="127" t="s">
        <v>288</v>
      </c>
      <c r="F45" s="125" t="s">
        <v>284</v>
      </c>
    </row>
    <row r="46" spans="1:6" x14ac:dyDescent="0.3">
      <c r="A46" s="123">
        <v>45</v>
      </c>
      <c r="B46" s="118" t="s">
        <v>57</v>
      </c>
      <c r="C46" s="118" t="s">
        <v>298</v>
      </c>
      <c r="D46" s="118" t="s">
        <v>302</v>
      </c>
      <c r="E46" s="127" t="str">
        <f ca="1">TEXT(RANDBETWEEN(1111111111111110,9999999999999990),"#### #### #### ####")</f>
        <v>6063 8620 1409 9980</v>
      </c>
      <c r="F46" s="125">
        <f t="shared" ca="1" si="0"/>
        <v>9953810712</v>
      </c>
    </row>
    <row r="47" spans="1:6" x14ac:dyDescent="0.3">
      <c r="A47" s="123">
        <v>46</v>
      </c>
      <c r="B47" s="118" t="s">
        <v>64</v>
      </c>
      <c r="C47" s="118" t="s">
        <v>283</v>
      </c>
      <c r="D47" s="118" t="s">
        <v>270</v>
      </c>
      <c r="E47" s="124">
        <f ca="1">RANDBETWEEN(9000000000,9999999999)</f>
        <v>9358902149</v>
      </c>
      <c r="F47" s="125" t="s">
        <v>284</v>
      </c>
    </row>
    <row r="48" spans="1:6" x14ac:dyDescent="0.3">
      <c r="A48" s="123">
        <v>47</v>
      </c>
      <c r="B48" s="118" t="s">
        <v>72</v>
      </c>
      <c r="C48" s="118" t="s">
        <v>282</v>
      </c>
      <c r="D48" s="118" t="s">
        <v>273</v>
      </c>
      <c r="E48" s="127" t="s">
        <v>296</v>
      </c>
      <c r="F48" s="125" t="s">
        <v>284</v>
      </c>
    </row>
    <row r="49" spans="1:6" x14ac:dyDescent="0.3">
      <c r="A49" s="123">
        <v>48</v>
      </c>
      <c r="B49" s="118" t="s">
        <v>76</v>
      </c>
      <c r="C49" s="118" t="s">
        <v>292</v>
      </c>
      <c r="D49" s="118" t="s">
        <v>275</v>
      </c>
      <c r="E49" s="127" t="str">
        <f ca="1">TEXT(RANDBETWEEN(1111111111111110,9999999999999990),"#### #### #### ####")</f>
        <v>8943 0782 3306 3840</v>
      </c>
      <c r="F49" s="125">
        <f t="shared" ca="1" si="0"/>
        <v>9720062826</v>
      </c>
    </row>
    <row r="50" spans="1:6" x14ac:dyDescent="0.3">
      <c r="A50" s="123">
        <v>49</v>
      </c>
      <c r="B50" s="118" t="s">
        <v>80</v>
      </c>
      <c r="C50" s="118" t="s">
        <v>282</v>
      </c>
      <c r="D50" s="118" t="s">
        <v>276</v>
      </c>
      <c r="E50" s="127" t="s">
        <v>295</v>
      </c>
      <c r="F50" s="125" t="s">
        <v>303</v>
      </c>
    </row>
    <row r="51" spans="1:6" x14ac:dyDescent="0.3">
      <c r="A51" s="128"/>
      <c r="B51" s="129"/>
      <c r="C51" s="129"/>
      <c r="D51" s="129"/>
      <c r="E51" s="129"/>
      <c r="F51" s="130"/>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6A34D-D80D-44B0-92B8-46EDED522213}">
  <sheetPr codeName="Sheet4"/>
  <dimension ref="A1:R316"/>
  <sheetViews>
    <sheetView workbookViewId="0">
      <pane ySplit="1" topLeftCell="A2" activePane="bottomLeft" state="frozen"/>
      <selection pane="bottomLeft" activeCell="E22" sqref="E22"/>
    </sheetView>
  </sheetViews>
  <sheetFormatPr defaultRowHeight="14.25" x14ac:dyDescent="0.25"/>
  <cols>
    <col min="1" max="1" width="24.42578125" style="1" bestFit="1" customWidth="1"/>
    <col min="2" max="2" width="18.7109375" style="1" bestFit="1" customWidth="1"/>
    <col min="3" max="3" width="17.28515625" style="1" bestFit="1" customWidth="1"/>
    <col min="4" max="4" width="10.42578125" style="1" bestFit="1" customWidth="1"/>
    <col min="5" max="5" width="14.85546875" style="1" bestFit="1" customWidth="1"/>
    <col min="6" max="6" width="12.5703125" style="1" bestFit="1" customWidth="1"/>
    <col min="7" max="7" width="19.42578125" style="1" bestFit="1" customWidth="1"/>
    <col min="8" max="8" width="13.5703125" style="1" bestFit="1" customWidth="1"/>
    <col min="9" max="9" width="18.140625" style="1" bestFit="1" customWidth="1"/>
    <col min="10" max="10" width="17.85546875" style="1" bestFit="1" customWidth="1"/>
    <col min="11" max="11" width="12" style="1" bestFit="1" customWidth="1"/>
    <col min="12" max="12" width="16.5703125" style="1" bestFit="1" customWidth="1"/>
    <col min="13" max="13" width="18.85546875" style="1" bestFit="1" customWidth="1"/>
    <col min="14" max="14" width="13" style="1" bestFit="1" customWidth="1"/>
    <col min="15" max="15" width="17.5703125" style="1" bestFit="1" customWidth="1"/>
    <col min="16" max="16" width="15.5703125" style="1" customWidth="1"/>
    <col min="17" max="17" width="15.28515625" style="1" customWidth="1"/>
    <col min="18" max="18" width="15.7109375" style="1" bestFit="1" customWidth="1"/>
    <col min="19" max="20" width="14.42578125" style="1" bestFit="1" customWidth="1"/>
    <col min="21" max="16384" width="9.140625" style="1"/>
  </cols>
  <sheetData>
    <row r="1" spans="1:18" ht="18" thickBot="1" x14ac:dyDescent="0.35">
      <c r="A1" s="247" t="s">
        <v>304</v>
      </c>
      <c r="B1" s="247" t="s">
        <v>113</v>
      </c>
      <c r="C1" s="247" t="s">
        <v>112</v>
      </c>
      <c r="D1" s="247" t="s">
        <v>305</v>
      </c>
      <c r="E1" s="247" t="s">
        <v>306</v>
      </c>
      <c r="F1" s="247" t="s">
        <v>307</v>
      </c>
      <c r="G1" s="247" t="s">
        <v>126</v>
      </c>
      <c r="H1" s="247" t="s">
        <v>125</v>
      </c>
      <c r="I1" s="247" t="s">
        <v>127</v>
      </c>
      <c r="J1" s="247" t="s">
        <v>308</v>
      </c>
      <c r="K1" s="247" t="s">
        <v>309</v>
      </c>
      <c r="L1" s="247" t="s">
        <v>310</v>
      </c>
      <c r="M1" s="247" t="s">
        <v>311</v>
      </c>
      <c r="N1" s="247" t="s">
        <v>312</v>
      </c>
      <c r="O1" s="247" t="s">
        <v>313</v>
      </c>
    </row>
    <row r="2" spans="1:18" ht="15" thickTop="1" x14ac:dyDescent="0.25">
      <c r="A2" s="102">
        <f>IF(Table8[[#This Row],[in-game_name]]&lt;&gt;"",ROW(A1),"")</f>
        <v>1</v>
      </c>
      <c r="B2" s="103" t="s">
        <v>5</v>
      </c>
      <c r="C2" s="92">
        <f>_xlfn.XLOOKUP(B2,Table4[in-game_name],Table4[user_number],"User Not Found")</f>
        <v>1</v>
      </c>
      <c r="D2" s="3">
        <v>44384</v>
      </c>
      <c r="E2" s="1">
        <v>3553</v>
      </c>
      <c r="F2" s="8">
        <v>10.8</v>
      </c>
      <c r="G2" s="1">
        <v>0</v>
      </c>
      <c r="H2" s="1">
        <v>0.5</v>
      </c>
      <c r="I2" s="1">
        <v>0.5</v>
      </c>
      <c r="J2" s="9">
        <f>E2*G2</f>
        <v>0</v>
      </c>
      <c r="K2" s="10">
        <f>E2-L2-J2</f>
        <v>1776.5</v>
      </c>
      <c r="L2" s="10">
        <f>E2*I2</f>
        <v>1776.5</v>
      </c>
      <c r="M2" s="11">
        <f>J2*F2</f>
        <v>0</v>
      </c>
      <c r="N2" s="11">
        <f>K2*F2</f>
        <v>19186.2</v>
      </c>
      <c r="O2" s="12">
        <f>L2*F2</f>
        <v>19186.2</v>
      </c>
    </row>
    <row r="3" spans="1:18" x14ac:dyDescent="0.25">
      <c r="A3" s="102">
        <f>IF(Table8[[#This Row],[in-game_name]]&lt;&gt;"",ROW(A2),"")</f>
        <v>2</v>
      </c>
      <c r="B3" s="104" t="s">
        <v>17</v>
      </c>
      <c r="C3" s="92">
        <f>_xlfn.XLOOKUP(B3,Table4[in-game_name],Table4[user_number],"User Not Found")</f>
        <v>3</v>
      </c>
      <c r="D3" s="3">
        <v>44384</v>
      </c>
      <c r="E3" s="1">
        <v>2760</v>
      </c>
      <c r="F3" s="8">
        <v>10.8</v>
      </c>
      <c r="G3" s="1">
        <v>0</v>
      </c>
      <c r="H3" s="1">
        <v>0.5</v>
      </c>
      <c r="I3" s="1">
        <v>0.5</v>
      </c>
      <c r="J3" s="13">
        <f>E3*G3</f>
        <v>0</v>
      </c>
      <c r="K3" s="14">
        <f>E3-L3-J3</f>
        <v>1380</v>
      </c>
      <c r="L3" s="14">
        <f>E3*I3</f>
        <v>1380</v>
      </c>
      <c r="M3" s="11">
        <f>J3*F3</f>
        <v>0</v>
      </c>
      <c r="N3" s="11">
        <f>K3*F3</f>
        <v>14904.000000000002</v>
      </c>
      <c r="O3" s="12">
        <f>L3*F3</f>
        <v>14904.000000000002</v>
      </c>
      <c r="Q3" s="109" t="s">
        <v>311</v>
      </c>
      <c r="R3" s="177">
        <f>SUM(M2:M282)</f>
        <v>248279.03917500007</v>
      </c>
    </row>
    <row r="4" spans="1:18" x14ac:dyDescent="0.25">
      <c r="A4" s="102">
        <f>IF(Table8[[#This Row],[in-game_name]]&lt;&gt;"",ROW(A3),"")</f>
        <v>3</v>
      </c>
      <c r="B4" s="104" t="s">
        <v>91</v>
      </c>
      <c r="C4" s="92">
        <f>_xlfn.XLOOKUP(B4,Table4[in-game_name],Table4[user_number],"User Not Found")</f>
        <v>33</v>
      </c>
      <c r="D4" s="3">
        <v>44389</v>
      </c>
      <c r="E4" s="1">
        <v>2054</v>
      </c>
      <c r="F4" s="8">
        <v>13.5</v>
      </c>
      <c r="G4" s="1">
        <v>0.05</v>
      </c>
      <c r="H4" s="1">
        <v>0.22</v>
      </c>
      <c r="I4" s="1">
        <v>0.73</v>
      </c>
      <c r="J4" s="13">
        <f>E4*G4</f>
        <v>102.7</v>
      </c>
      <c r="K4" s="14">
        <f>E4-L4-J4</f>
        <v>451.87999999999994</v>
      </c>
      <c r="L4" s="14">
        <f>E4*I4</f>
        <v>1499.42</v>
      </c>
      <c r="M4" s="11">
        <f>J4*F4</f>
        <v>1386.45</v>
      </c>
      <c r="N4" s="11">
        <f>K4*F4</f>
        <v>6100.3799999999992</v>
      </c>
      <c r="O4" s="12">
        <f>L4*F4</f>
        <v>20242.170000000002</v>
      </c>
      <c r="Q4" s="111" t="s">
        <v>312</v>
      </c>
      <c r="R4" s="178">
        <f>SUM(N2:N282)</f>
        <v>1134096.6227474003</v>
      </c>
    </row>
    <row r="5" spans="1:18" x14ac:dyDescent="0.25">
      <c r="A5" s="102">
        <f>IF(Table8[[#This Row],[in-game_name]]&lt;&gt;"",ROW(A4),"")</f>
        <v>4</v>
      </c>
      <c r="B5" s="104" t="s">
        <v>11</v>
      </c>
      <c r="C5" s="92">
        <f>_xlfn.XLOOKUP(B5,Table4[in-game_name],Table4[user_number],"User Not Found")</f>
        <v>2</v>
      </c>
      <c r="D5" s="3">
        <v>44391</v>
      </c>
      <c r="E5" s="1">
        <v>3277</v>
      </c>
      <c r="F5" s="8">
        <v>16.3</v>
      </c>
      <c r="G5" s="1">
        <v>0</v>
      </c>
      <c r="H5" s="1">
        <v>0.5</v>
      </c>
      <c r="I5" s="1">
        <v>0.5</v>
      </c>
      <c r="J5" s="13">
        <f>E5*G5</f>
        <v>0</v>
      </c>
      <c r="K5" s="14">
        <f>E5-L5-J5</f>
        <v>1638.5</v>
      </c>
      <c r="L5" s="14">
        <f>E5*I5</f>
        <v>1638.5</v>
      </c>
      <c r="M5" s="11">
        <f>J5*F5</f>
        <v>0</v>
      </c>
      <c r="N5" s="11">
        <f>K5*F5</f>
        <v>26707.550000000003</v>
      </c>
      <c r="O5" s="12">
        <f>L5*F5</f>
        <v>26707.550000000003</v>
      </c>
      <c r="Q5" s="114" t="s">
        <v>313</v>
      </c>
      <c r="R5" s="179">
        <f>SUM(O2:O282)</f>
        <v>1190404.8980776006</v>
      </c>
    </row>
    <row r="6" spans="1:18" x14ac:dyDescent="0.25">
      <c r="A6" s="102">
        <f>IF(Table8[[#This Row],[in-game_name]]&lt;&gt;"",ROW(A5),"")</f>
        <v>5</v>
      </c>
      <c r="B6" s="104" t="s">
        <v>46</v>
      </c>
      <c r="C6" s="92">
        <f>_xlfn.XLOOKUP(B6,Table4[in-game_name],Table4[user_number],"User Not Found")</f>
        <v>9</v>
      </c>
      <c r="D6" s="3">
        <v>44394</v>
      </c>
      <c r="E6" s="1">
        <v>2600</v>
      </c>
      <c r="F6" s="8">
        <v>12.5</v>
      </c>
      <c r="G6" s="1">
        <v>0.15</v>
      </c>
      <c r="H6" s="1">
        <v>0.35</v>
      </c>
      <c r="I6" s="1">
        <v>0.5</v>
      </c>
      <c r="J6" s="13">
        <f>E6*G6</f>
        <v>390</v>
      </c>
      <c r="K6" s="14">
        <f>E6-L6-J6</f>
        <v>910</v>
      </c>
      <c r="L6" s="14">
        <f>E6*I6</f>
        <v>1300</v>
      </c>
      <c r="M6" s="11">
        <f>J6*F6</f>
        <v>4875</v>
      </c>
      <c r="N6" s="11">
        <f>K6*F6</f>
        <v>11375</v>
      </c>
      <c r="O6" s="12">
        <f>L6*F6</f>
        <v>16250</v>
      </c>
      <c r="Q6" s="182" t="s">
        <v>314</v>
      </c>
      <c r="R6" s="183">
        <f>SUM(R3:R5)</f>
        <v>2572780.560000001</v>
      </c>
    </row>
    <row r="7" spans="1:18" x14ac:dyDescent="0.25">
      <c r="A7" s="102">
        <f>IF(Table8[[#This Row],[in-game_name]]&lt;&gt;"",ROW(A6),"")</f>
        <v>6</v>
      </c>
      <c r="B7" s="104" t="s">
        <v>17</v>
      </c>
      <c r="C7" s="92">
        <f>_xlfn.XLOOKUP(B7,Table4[in-game_name],Table4[user_number],"User Not Found")</f>
        <v>3</v>
      </c>
      <c r="D7" s="3">
        <v>44399</v>
      </c>
      <c r="E7" s="1">
        <v>2771</v>
      </c>
      <c r="F7" s="8">
        <v>14</v>
      </c>
      <c r="G7" s="1">
        <v>0</v>
      </c>
      <c r="H7" s="1">
        <v>0.5</v>
      </c>
      <c r="I7" s="1">
        <v>0.5</v>
      </c>
      <c r="J7" s="13">
        <f>E7*G7</f>
        <v>0</v>
      </c>
      <c r="K7" s="14">
        <f>E7-L7-J7</f>
        <v>1385.5</v>
      </c>
      <c r="L7" s="14">
        <f>E7*I7</f>
        <v>1385.5</v>
      </c>
      <c r="M7" s="11">
        <f>J7*F7</f>
        <v>0</v>
      </c>
      <c r="N7" s="11">
        <f>K7*F7</f>
        <v>19397</v>
      </c>
      <c r="O7" s="12">
        <f>L7*F7</f>
        <v>19397</v>
      </c>
    </row>
    <row r="8" spans="1:18" x14ac:dyDescent="0.25">
      <c r="A8" s="102">
        <f>IF(Table8[[#This Row],[in-game_name]]&lt;&gt;"",ROW(A7),"")</f>
        <v>7</v>
      </c>
      <c r="B8" s="104" t="s">
        <v>5</v>
      </c>
      <c r="C8" s="92">
        <f>_xlfn.XLOOKUP(B8,Table4[in-game_name],Table4[user_number],"User Not Found")</f>
        <v>1</v>
      </c>
      <c r="D8" s="3">
        <v>44401</v>
      </c>
      <c r="E8" s="1">
        <v>2950</v>
      </c>
      <c r="F8" s="8">
        <v>14</v>
      </c>
      <c r="G8" s="1">
        <v>0</v>
      </c>
      <c r="H8" s="1">
        <v>0.5</v>
      </c>
      <c r="I8" s="1">
        <v>0.5</v>
      </c>
      <c r="J8" s="13">
        <f>E8*G8</f>
        <v>0</v>
      </c>
      <c r="K8" s="14">
        <f>E8-L8-J8</f>
        <v>1475</v>
      </c>
      <c r="L8" s="14">
        <f>E8*I8</f>
        <v>1475</v>
      </c>
      <c r="M8" s="11">
        <f>J8*F8</f>
        <v>0</v>
      </c>
      <c r="N8" s="11">
        <f>K8*F8</f>
        <v>20650</v>
      </c>
      <c r="O8" s="12">
        <f>L8*F8</f>
        <v>20650</v>
      </c>
      <c r="Q8" s="180" t="s">
        <v>315</v>
      </c>
      <c r="R8" s="181"/>
    </row>
    <row r="9" spans="1:18" x14ac:dyDescent="0.25">
      <c r="A9" s="102">
        <f>IF(Table8[[#This Row],[in-game_name]]&lt;&gt;"",ROW(A8),"")</f>
        <v>8</v>
      </c>
      <c r="B9" s="104" t="s">
        <v>90</v>
      </c>
      <c r="C9" s="92">
        <f>_xlfn.XLOOKUP(B9,Table4[in-game_name],Table4[user_number],"User Not Found")</f>
        <v>16</v>
      </c>
      <c r="D9" s="3">
        <v>44402</v>
      </c>
      <c r="E9" s="1">
        <v>2482</v>
      </c>
      <c r="F9" s="8">
        <v>13.5</v>
      </c>
      <c r="G9" s="1">
        <v>0.05</v>
      </c>
      <c r="H9" s="1">
        <v>0.45</v>
      </c>
      <c r="I9" s="1">
        <v>0.49999999999999994</v>
      </c>
      <c r="J9" s="13">
        <f>E9*G9</f>
        <v>124.10000000000001</v>
      </c>
      <c r="K9" s="14">
        <f>E9-L9-J9</f>
        <v>1116.9000000000003</v>
      </c>
      <c r="L9" s="14">
        <f>E9*I9</f>
        <v>1240.9999999999998</v>
      </c>
      <c r="M9" s="11">
        <f>J9*F9</f>
        <v>1675.3500000000001</v>
      </c>
      <c r="N9" s="11">
        <f>K9*F9</f>
        <v>15078.150000000005</v>
      </c>
      <c r="O9" s="12">
        <f>L9*F9</f>
        <v>16753.499999999996</v>
      </c>
      <c r="Q9" s="169" t="s">
        <v>84</v>
      </c>
      <c r="R9" s="176">
        <v>2150</v>
      </c>
    </row>
    <row r="10" spans="1:18" x14ac:dyDescent="0.25">
      <c r="A10" s="102">
        <f>IF(Table8[[#This Row],[in-game_name]]&lt;&gt;"",ROW(A9),"")</f>
        <v>9</v>
      </c>
      <c r="B10" s="104" t="s">
        <v>74</v>
      </c>
      <c r="C10" s="92">
        <f>_xlfn.XLOOKUP(B10,Table4[in-game_name],Table4[user_number],"User Not Found")</f>
        <v>14</v>
      </c>
      <c r="D10" s="3">
        <v>44402</v>
      </c>
      <c r="E10" s="1">
        <v>3190</v>
      </c>
      <c r="F10" s="8">
        <v>13.5</v>
      </c>
      <c r="G10" s="1">
        <v>0.1</v>
      </c>
      <c r="H10" s="1">
        <v>0.4</v>
      </c>
      <c r="I10" s="1">
        <v>0.5</v>
      </c>
      <c r="J10" s="13">
        <f>E10*G10</f>
        <v>319</v>
      </c>
      <c r="K10" s="14">
        <f>E10-L10-J10</f>
        <v>1276</v>
      </c>
      <c r="L10" s="14">
        <f>E10*I10</f>
        <v>1595</v>
      </c>
      <c r="M10" s="11">
        <f>J10*F10</f>
        <v>4306.5</v>
      </c>
      <c r="N10" s="11">
        <f>K10*F10</f>
        <v>17226</v>
      </c>
      <c r="O10" s="12">
        <f>L10*F10</f>
        <v>21532.5</v>
      </c>
      <c r="Q10" s="111"/>
      <c r="R10" s="112"/>
    </row>
    <row r="11" spans="1:18" x14ac:dyDescent="0.25">
      <c r="A11" s="102">
        <f>IF(Table8[[#This Row],[in-game_name]]&lt;&gt;"",ROW(A10),"")</f>
        <v>10</v>
      </c>
      <c r="B11" s="104" t="s">
        <v>11</v>
      </c>
      <c r="C11" s="92">
        <f>_xlfn.XLOOKUP(B11,Table4[in-game_name],Table4[user_number],"User Not Found")</f>
        <v>2</v>
      </c>
      <c r="D11" s="3">
        <v>44407</v>
      </c>
      <c r="E11" s="1">
        <v>2516</v>
      </c>
      <c r="F11" s="8">
        <v>10</v>
      </c>
      <c r="G11" s="1">
        <v>0</v>
      </c>
      <c r="H11" s="1">
        <v>0.5</v>
      </c>
      <c r="I11" s="1">
        <v>0.5</v>
      </c>
      <c r="J11" s="13">
        <f>E11*G11</f>
        <v>0</v>
      </c>
      <c r="K11" s="14">
        <f>E11-L11-J11</f>
        <v>1258</v>
      </c>
      <c r="L11" s="14">
        <f>E11*I11</f>
        <v>1258</v>
      </c>
      <c r="M11" s="11">
        <f>J11*F11</f>
        <v>0</v>
      </c>
      <c r="N11" s="11">
        <f>K11*F11</f>
        <v>12580</v>
      </c>
      <c r="O11" s="12">
        <f>L11*F11</f>
        <v>12580</v>
      </c>
      <c r="Q11" s="111" t="s">
        <v>316</v>
      </c>
      <c r="R11" s="172">
        <v>0.15</v>
      </c>
    </row>
    <row r="12" spans="1:18" x14ac:dyDescent="0.25">
      <c r="A12" s="102">
        <f>IF(Table8[[#This Row],[in-game_name]]&lt;&gt;"",ROW(A11),"")</f>
        <v>11</v>
      </c>
      <c r="B12" s="104" t="s">
        <v>38</v>
      </c>
      <c r="C12" s="92">
        <f>_xlfn.XLOOKUP(B12,Table4[in-game_name],Table4[user_number],"User Not Found")</f>
        <v>41</v>
      </c>
      <c r="D12" s="3">
        <v>44408</v>
      </c>
      <c r="E12" s="1">
        <v>4206</v>
      </c>
      <c r="F12" s="8">
        <v>11.5</v>
      </c>
      <c r="G12" s="1">
        <v>0.15</v>
      </c>
      <c r="H12" s="1">
        <v>0.35</v>
      </c>
      <c r="I12" s="1">
        <v>0.5</v>
      </c>
      <c r="J12" s="13">
        <f>E12*G12</f>
        <v>630.9</v>
      </c>
      <c r="K12" s="14">
        <f>E12-L12-J12</f>
        <v>1472.1</v>
      </c>
      <c r="L12" s="14">
        <f>E12*I12</f>
        <v>2103</v>
      </c>
      <c r="M12" s="11">
        <f>J12*F12</f>
        <v>7255.3499999999995</v>
      </c>
      <c r="N12" s="11">
        <f>K12*F12</f>
        <v>16929.149999999998</v>
      </c>
      <c r="O12" s="12">
        <f>L12*F12</f>
        <v>24184.5</v>
      </c>
      <c r="Q12" s="111" t="s">
        <v>317</v>
      </c>
      <c r="R12" s="172">
        <v>0.4</v>
      </c>
    </row>
    <row r="13" spans="1:18" x14ac:dyDescent="0.25">
      <c r="A13" s="102">
        <f>IF(Table8[[#This Row],[in-game_name]]&lt;&gt;"",ROW(A12),"")</f>
        <v>12</v>
      </c>
      <c r="B13" s="104" t="s">
        <v>46</v>
      </c>
      <c r="C13" s="92">
        <f>_xlfn.XLOOKUP(B13,Table4[in-game_name],Table4[user_number],"User Not Found")</f>
        <v>9</v>
      </c>
      <c r="D13" s="3">
        <v>44408</v>
      </c>
      <c r="E13" s="1">
        <v>2387</v>
      </c>
      <c r="F13" s="8">
        <v>10</v>
      </c>
      <c r="G13" s="1">
        <v>0.15</v>
      </c>
      <c r="H13" s="1">
        <v>0.35</v>
      </c>
      <c r="I13" s="1">
        <v>0.5</v>
      </c>
      <c r="J13" s="13">
        <f>E13*G13</f>
        <v>358.05</v>
      </c>
      <c r="K13" s="14">
        <f>E13-L13-J13</f>
        <v>835.45</v>
      </c>
      <c r="L13" s="14">
        <f>E13*I13</f>
        <v>1193.5</v>
      </c>
      <c r="M13" s="11">
        <f>J13*F13</f>
        <v>3580.5</v>
      </c>
      <c r="N13" s="11">
        <f>K13*F13</f>
        <v>8354.5</v>
      </c>
      <c r="O13" s="12">
        <f>L13*F13</f>
        <v>11935</v>
      </c>
      <c r="Q13" s="111"/>
      <c r="R13" s="112"/>
    </row>
    <row r="14" spans="1:18" x14ac:dyDescent="0.25">
      <c r="A14" s="102">
        <f>IF(Table8[[#This Row],[in-game_name]]&lt;&gt;"",ROW(A13),"")</f>
        <v>13</v>
      </c>
      <c r="B14" s="104" t="s">
        <v>80</v>
      </c>
      <c r="C14" s="92">
        <f>_xlfn.XLOOKUP(B14,Table4[in-game_name],Table4[user_number],"User Not Found")</f>
        <v>49</v>
      </c>
      <c r="D14" s="3">
        <v>44408</v>
      </c>
      <c r="E14" s="1">
        <v>4742</v>
      </c>
      <c r="F14" s="8">
        <v>10</v>
      </c>
      <c r="G14" s="1">
        <v>0.2</v>
      </c>
      <c r="H14" s="1">
        <v>0.4</v>
      </c>
      <c r="I14" s="1">
        <v>0.4</v>
      </c>
      <c r="J14" s="13">
        <f>E14*G14</f>
        <v>948.40000000000009</v>
      </c>
      <c r="K14" s="14">
        <f>E14-L14-J14</f>
        <v>1896.7999999999997</v>
      </c>
      <c r="L14" s="14">
        <f>E14*I14</f>
        <v>1896.8000000000002</v>
      </c>
      <c r="M14" s="11">
        <f>J14*F14</f>
        <v>9484</v>
      </c>
      <c r="N14" s="11">
        <f>K14*F14</f>
        <v>18967.999999999996</v>
      </c>
      <c r="O14" s="12">
        <f>L14*F14</f>
        <v>18968</v>
      </c>
      <c r="Q14" s="111" t="s">
        <v>318</v>
      </c>
      <c r="R14" s="173">
        <f>(R9-R16)*(1/(R11+R12)*R11)</f>
        <v>327.27272727272725</v>
      </c>
    </row>
    <row r="15" spans="1:18" x14ac:dyDescent="0.25">
      <c r="A15" s="102">
        <f>IF(Table8[[#This Row],[in-game_name]]&lt;&gt;"",ROW(A14),"")</f>
        <v>14</v>
      </c>
      <c r="B15" s="104" t="s">
        <v>12</v>
      </c>
      <c r="C15" s="92">
        <f>_xlfn.XLOOKUP(B15,Table4[in-game_name],Table4[user_number],"User Not Found")</f>
        <v>19</v>
      </c>
      <c r="D15" s="3">
        <v>44408</v>
      </c>
      <c r="E15" s="1">
        <v>1776</v>
      </c>
      <c r="F15" s="8">
        <v>10</v>
      </c>
      <c r="G15" s="1">
        <v>0.2</v>
      </c>
      <c r="H15" s="1">
        <v>0.4</v>
      </c>
      <c r="I15" s="1">
        <v>0.4</v>
      </c>
      <c r="J15" s="13">
        <f>E15*G15</f>
        <v>355.20000000000005</v>
      </c>
      <c r="K15" s="14">
        <f>E15-L15-J15</f>
        <v>710.39999999999986</v>
      </c>
      <c r="L15" s="14">
        <f>E15*I15</f>
        <v>710.40000000000009</v>
      </c>
      <c r="M15" s="11">
        <f>J15*F15</f>
        <v>3552.0000000000005</v>
      </c>
      <c r="N15" s="11">
        <f>K15*F15</f>
        <v>7103.9999999999982</v>
      </c>
      <c r="O15" s="12">
        <f>L15*F15</f>
        <v>7104.0000000000009</v>
      </c>
      <c r="Q15" s="111" t="s">
        <v>319</v>
      </c>
      <c r="R15" s="173">
        <f>(R9-R16)*(1/(R11+R12)*R12)</f>
        <v>872.72727272727275</v>
      </c>
    </row>
    <row r="16" spans="1:18" x14ac:dyDescent="0.25">
      <c r="A16" s="102">
        <f>IF(Table8[[#This Row],[in-game_name]]&lt;&gt;"",ROW(A15),"")</f>
        <v>15</v>
      </c>
      <c r="B16" s="104" t="s">
        <v>74</v>
      </c>
      <c r="C16" s="92">
        <f>_xlfn.XLOOKUP(B16,Table4[in-game_name],Table4[user_number],"User Not Found")</f>
        <v>14</v>
      </c>
      <c r="D16" s="3">
        <v>44411</v>
      </c>
      <c r="E16" s="1">
        <v>2746</v>
      </c>
      <c r="F16" s="8">
        <v>9.8000000000000007</v>
      </c>
      <c r="G16" s="1">
        <v>0.1</v>
      </c>
      <c r="H16" s="1">
        <v>0.4</v>
      </c>
      <c r="I16" s="1">
        <v>0.5</v>
      </c>
      <c r="J16" s="13">
        <f>E16*G16</f>
        <v>274.60000000000002</v>
      </c>
      <c r="K16" s="14">
        <f>E16-L16-J16</f>
        <v>1098.4000000000001</v>
      </c>
      <c r="L16" s="14">
        <f>E16*I16</f>
        <v>1373</v>
      </c>
      <c r="M16" s="11">
        <f>J16*F16</f>
        <v>2691.0800000000004</v>
      </c>
      <c r="N16" s="11">
        <f>K16*F16</f>
        <v>10764.320000000002</v>
      </c>
      <c r="O16" s="12">
        <f>L16*F16</f>
        <v>13455.400000000001</v>
      </c>
      <c r="Q16" s="170" t="s">
        <v>320</v>
      </c>
      <c r="R16" s="174">
        <v>950</v>
      </c>
    </row>
    <row r="17" spans="1:18" x14ac:dyDescent="0.25">
      <c r="A17" s="102">
        <f>IF(Table8[[#This Row],[in-game_name]]&lt;&gt;"",ROW(A16),"")</f>
        <v>16</v>
      </c>
      <c r="B17" s="104" t="s">
        <v>17</v>
      </c>
      <c r="C17" s="92">
        <f>_xlfn.XLOOKUP(B17,Table4[in-game_name],Table4[user_number],"User Not Found")</f>
        <v>3</v>
      </c>
      <c r="D17" s="3">
        <v>44413</v>
      </c>
      <c r="E17" s="1">
        <v>3286</v>
      </c>
      <c r="F17" s="8">
        <v>9</v>
      </c>
      <c r="G17" s="1">
        <v>0</v>
      </c>
      <c r="H17" s="1">
        <v>0.5</v>
      </c>
      <c r="I17" s="1">
        <v>0.5</v>
      </c>
      <c r="J17" s="13">
        <f>E17*G17</f>
        <v>0</v>
      </c>
      <c r="K17" s="14">
        <f>E17-L17-J17</f>
        <v>1643</v>
      </c>
      <c r="L17" s="14">
        <f>E17*I17</f>
        <v>1643</v>
      </c>
      <c r="M17" s="11">
        <f>J17*F17</f>
        <v>0</v>
      </c>
      <c r="N17" s="11">
        <f>K17*F17</f>
        <v>14787</v>
      </c>
      <c r="O17" s="12">
        <f>L17*F17</f>
        <v>14787</v>
      </c>
      <c r="Q17" s="171"/>
      <c r="R17" s="175">
        <f>SUM(R14:R16)</f>
        <v>2150</v>
      </c>
    </row>
    <row r="18" spans="1:18" x14ac:dyDescent="0.25">
      <c r="A18" s="102">
        <f>IF(Table8[[#This Row],[in-game_name]]&lt;&gt;"",ROW(A17),"")</f>
        <v>17</v>
      </c>
      <c r="B18" s="104" t="s">
        <v>5</v>
      </c>
      <c r="C18" s="92">
        <f>_xlfn.XLOOKUP(B18,Table4[in-game_name],Table4[user_number],"User Not Found")</f>
        <v>1</v>
      </c>
      <c r="D18" s="3">
        <v>44415</v>
      </c>
      <c r="E18" s="1">
        <v>3072</v>
      </c>
      <c r="F18" s="8">
        <v>8.1999999999999993</v>
      </c>
      <c r="G18" s="1">
        <v>0</v>
      </c>
      <c r="H18" s="1">
        <v>0.5</v>
      </c>
      <c r="I18" s="1">
        <v>0.5</v>
      </c>
      <c r="J18" s="13">
        <f>E18*G18</f>
        <v>0</v>
      </c>
      <c r="K18" s="14">
        <f>E18-L18-J18</f>
        <v>1536</v>
      </c>
      <c r="L18" s="14">
        <f>E18*I18</f>
        <v>1536</v>
      </c>
      <c r="M18" s="11">
        <f>J18*F18</f>
        <v>0</v>
      </c>
      <c r="N18" s="11">
        <f>K18*F18</f>
        <v>12595.199999999999</v>
      </c>
      <c r="O18" s="12">
        <f>L18*F18</f>
        <v>12595.199999999999</v>
      </c>
    </row>
    <row r="19" spans="1:18" x14ac:dyDescent="0.25">
      <c r="A19" s="102">
        <f>IF(Table8[[#This Row],[in-game_name]]&lt;&gt;"",ROW(A18),"")</f>
        <v>18</v>
      </c>
      <c r="B19" s="104" t="s">
        <v>90</v>
      </c>
      <c r="C19" s="92">
        <f>_xlfn.XLOOKUP(B19,Table4[in-game_name],Table4[user_number],"User Not Found")</f>
        <v>16</v>
      </c>
      <c r="D19" s="3">
        <v>44417</v>
      </c>
      <c r="E19" s="1">
        <v>3663</v>
      </c>
      <c r="F19" s="8">
        <v>8.5</v>
      </c>
      <c r="G19" s="1">
        <v>0.05</v>
      </c>
      <c r="H19" s="1">
        <v>0.45</v>
      </c>
      <c r="I19" s="1">
        <v>0.49999999999999994</v>
      </c>
      <c r="J19" s="13">
        <f>E19*G19</f>
        <v>183.15</v>
      </c>
      <c r="K19" s="14">
        <f>E19-L19-J19</f>
        <v>1648.3500000000001</v>
      </c>
      <c r="L19" s="14">
        <f>E19*I19</f>
        <v>1831.4999999999998</v>
      </c>
      <c r="M19" s="11">
        <f>J19*F19</f>
        <v>1556.7750000000001</v>
      </c>
      <c r="N19" s="11">
        <f>K19*F19</f>
        <v>14010.975</v>
      </c>
      <c r="O19" s="12">
        <f>L19*F19</f>
        <v>15567.749999999998</v>
      </c>
      <c r="Q19" s="158" t="s">
        <v>321</v>
      </c>
      <c r="R19" s="159"/>
    </row>
    <row r="20" spans="1:18" x14ac:dyDescent="0.25">
      <c r="A20" s="102">
        <f>IF(Table8[[#This Row],[in-game_name]]&lt;&gt;"",ROW(A19),"")</f>
        <v>19</v>
      </c>
      <c r="B20" s="104" t="s">
        <v>91</v>
      </c>
      <c r="C20" s="92">
        <f>_xlfn.XLOOKUP(B20,Table4[in-game_name],Table4[user_number],"User Not Found")</f>
        <v>33</v>
      </c>
      <c r="D20" s="3">
        <v>44420</v>
      </c>
      <c r="E20" s="1">
        <v>1605</v>
      </c>
      <c r="F20" s="8">
        <v>8.6</v>
      </c>
      <c r="G20" s="1">
        <v>1.2489999999999999E-2</v>
      </c>
      <c r="H20" s="1">
        <v>0.15579999999999999</v>
      </c>
      <c r="I20" s="1">
        <v>0.83170999999999995</v>
      </c>
      <c r="J20" s="13">
        <f>E20*G20</f>
        <v>20.04645</v>
      </c>
      <c r="K20" s="14">
        <f>E20-L20-J20</f>
        <v>250.05900000000003</v>
      </c>
      <c r="L20" s="14">
        <f>E20*I20</f>
        <v>1334.89455</v>
      </c>
      <c r="M20" s="11">
        <f>J20*F20</f>
        <v>172.39946999999998</v>
      </c>
      <c r="N20" s="11">
        <f>K20*F20</f>
        <v>2150.5074</v>
      </c>
      <c r="O20" s="12">
        <f>L20*F20</f>
        <v>11480.093129999999</v>
      </c>
      <c r="Q20" s="109" t="s">
        <v>91</v>
      </c>
      <c r="R20" s="110">
        <f t="shared" ref="R20:R51" si="0">COUNTIF($B$2:$B$301,Q20)</f>
        <v>14</v>
      </c>
    </row>
    <row r="21" spans="1:18" x14ac:dyDescent="0.25">
      <c r="A21" s="102">
        <f>IF(Table8[[#This Row],[in-game_name]]&lt;&gt;"",ROW(A20),"")</f>
        <v>20</v>
      </c>
      <c r="B21" s="104" t="s">
        <v>63</v>
      </c>
      <c r="C21" s="92">
        <f>_xlfn.XLOOKUP(B21,Table4[in-game_name],Table4[user_number],"User Not Found")</f>
        <v>29</v>
      </c>
      <c r="D21" s="3">
        <v>44420</v>
      </c>
      <c r="E21" s="1">
        <v>820</v>
      </c>
      <c r="F21" s="8">
        <v>9.8000000000000007</v>
      </c>
      <c r="G21" s="1">
        <v>0</v>
      </c>
      <c r="H21" s="1">
        <v>0.16850000000000001</v>
      </c>
      <c r="I21" s="1">
        <v>0.83150000000000002</v>
      </c>
      <c r="J21" s="13">
        <f>E21*G21</f>
        <v>0</v>
      </c>
      <c r="K21" s="14">
        <f>E21-L21-J21</f>
        <v>138.16999999999996</v>
      </c>
      <c r="L21" s="14">
        <f>E21*I21</f>
        <v>681.83</v>
      </c>
      <c r="M21" s="11">
        <f>J21*F21</f>
        <v>0</v>
      </c>
      <c r="N21" s="11">
        <f>K21*F21</f>
        <v>1354.0659999999998</v>
      </c>
      <c r="O21" s="12">
        <f>L21*F21</f>
        <v>6681.9340000000011</v>
      </c>
      <c r="Q21" s="111" t="s">
        <v>38</v>
      </c>
      <c r="R21" s="112">
        <f t="shared" si="0"/>
        <v>14</v>
      </c>
    </row>
    <row r="22" spans="1:18" x14ac:dyDescent="0.25">
      <c r="A22" s="102">
        <f>IF(Table8[[#This Row],[in-game_name]]&lt;&gt;"",ROW(A21),"")</f>
        <v>21</v>
      </c>
      <c r="B22" s="104" t="s">
        <v>38</v>
      </c>
      <c r="C22" s="92">
        <f>_xlfn.XLOOKUP(B22,Table4[in-game_name],Table4[user_number],"User Not Found")</f>
        <v>41</v>
      </c>
      <c r="D22" s="3">
        <v>44421</v>
      </c>
      <c r="E22" s="1">
        <v>3033</v>
      </c>
      <c r="F22" s="8">
        <v>8.6</v>
      </c>
      <c r="G22" s="1">
        <v>0.1361</v>
      </c>
      <c r="H22" s="1">
        <v>0.4</v>
      </c>
      <c r="I22" s="1">
        <v>0.46389999999999998</v>
      </c>
      <c r="J22" s="13">
        <f>E22*G22</f>
        <v>412.79129999999998</v>
      </c>
      <c r="K22" s="14">
        <f>E22-L22-J22</f>
        <v>1213.2000000000003</v>
      </c>
      <c r="L22" s="14">
        <f>E22*I22</f>
        <v>1407.0086999999999</v>
      </c>
      <c r="M22" s="11">
        <f>J22*F22</f>
        <v>3550.0051799999997</v>
      </c>
      <c r="N22" s="11">
        <f>K22*F22</f>
        <v>10433.520000000002</v>
      </c>
      <c r="O22" s="12">
        <f>L22*F22</f>
        <v>12100.274819999999</v>
      </c>
      <c r="Q22" s="111" t="s">
        <v>46</v>
      </c>
      <c r="R22" s="112">
        <f t="shared" si="0"/>
        <v>13</v>
      </c>
    </row>
    <row r="23" spans="1:18" x14ac:dyDescent="0.25">
      <c r="A23" s="102">
        <f>IF(Table8[[#This Row],[in-game_name]]&lt;&gt;"",ROW(A22),"")</f>
        <v>22</v>
      </c>
      <c r="B23" s="104" t="s">
        <v>11</v>
      </c>
      <c r="C23" s="92">
        <f>_xlfn.XLOOKUP(B23,Table4[in-game_name],Table4[user_number],"User Not Found")</f>
        <v>2</v>
      </c>
      <c r="D23" s="3">
        <v>44422</v>
      </c>
      <c r="E23" s="1">
        <v>3232</v>
      </c>
      <c r="F23" s="8">
        <v>8.6</v>
      </c>
      <c r="G23" s="1">
        <v>0</v>
      </c>
      <c r="H23" s="1">
        <v>0.5</v>
      </c>
      <c r="I23" s="1">
        <v>0.5</v>
      </c>
      <c r="J23" s="13">
        <f>E23*G23</f>
        <v>0</v>
      </c>
      <c r="K23" s="14">
        <f>E23-L23-J23</f>
        <v>1616</v>
      </c>
      <c r="L23" s="14">
        <f>E23*I23</f>
        <v>1616</v>
      </c>
      <c r="M23" s="11">
        <f>J23*F23</f>
        <v>0</v>
      </c>
      <c r="N23" s="11">
        <f>K23*F23</f>
        <v>13897.599999999999</v>
      </c>
      <c r="O23" s="12">
        <f>L23*F23</f>
        <v>13897.599999999999</v>
      </c>
      <c r="Q23" s="111" t="s">
        <v>90</v>
      </c>
      <c r="R23" s="112">
        <f t="shared" si="0"/>
        <v>12</v>
      </c>
    </row>
    <row r="24" spans="1:18" x14ac:dyDescent="0.25">
      <c r="A24" s="102">
        <f>IF(Table8[[#This Row],[in-game_name]]&lt;&gt;"",ROW(A23),"")</f>
        <v>23</v>
      </c>
      <c r="B24" s="104" t="s">
        <v>37</v>
      </c>
      <c r="C24" s="92">
        <f>_xlfn.XLOOKUP(B24,Table4[in-game_name],Table4[user_number],"User Not Found")</f>
        <v>24</v>
      </c>
      <c r="D24" s="3">
        <v>44422</v>
      </c>
      <c r="E24" s="1">
        <v>3185</v>
      </c>
      <c r="F24" s="8">
        <v>8.6</v>
      </c>
      <c r="G24" s="1">
        <v>0.1</v>
      </c>
      <c r="H24" s="1">
        <v>0.4</v>
      </c>
      <c r="I24" s="1">
        <v>0.5</v>
      </c>
      <c r="J24" s="13">
        <f>E24*G24</f>
        <v>318.5</v>
      </c>
      <c r="K24" s="14">
        <f>E24-L24-J24</f>
        <v>1274</v>
      </c>
      <c r="L24" s="14">
        <f>E24*I24</f>
        <v>1592.5</v>
      </c>
      <c r="M24" s="11">
        <f>J24*F24</f>
        <v>2739.1</v>
      </c>
      <c r="N24" s="11">
        <f>K24*F24</f>
        <v>10956.4</v>
      </c>
      <c r="O24" s="12">
        <f>L24*F24</f>
        <v>13695.5</v>
      </c>
      <c r="Q24" s="111" t="s">
        <v>71</v>
      </c>
      <c r="R24" s="112">
        <f t="shared" si="0"/>
        <v>12</v>
      </c>
    </row>
    <row r="25" spans="1:18" x14ac:dyDescent="0.25">
      <c r="A25" s="102">
        <f>IF(Table8[[#This Row],[in-game_name]]&lt;&gt;"",ROW(A24),"")</f>
        <v>24</v>
      </c>
      <c r="B25" s="104" t="s">
        <v>71</v>
      </c>
      <c r="C25" s="92">
        <f>_xlfn.XLOOKUP(B25,Table4[in-game_name],Table4[user_number],"User Not Found")</f>
        <v>30</v>
      </c>
      <c r="D25" s="3">
        <v>44423</v>
      </c>
      <c r="E25" s="1">
        <v>4226</v>
      </c>
      <c r="F25" s="8">
        <v>8.6</v>
      </c>
      <c r="G25" s="1">
        <v>0.25</v>
      </c>
      <c r="H25" s="1">
        <v>0.35</v>
      </c>
      <c r="I25" s="1">
        <v>0.4</v>
      </c>
      <c r="J25" s="13">
        <f>E25*G25</f>
        <v>1056.5</v>
      </c>
      <c r="K25" s="14">
        <f>E25-L25-J25</f>
        <v>1479.1</v>
      </c>
      <c r="L25" s="14">
        <f>E25*I25</f>
        <v>1690.4</v>
      </c>
      <c r="M25" s="11">
        <f>J25*F25</f>
        <v>9085.9</v>
      </c>
      <c r="N25" s="11">
        <f>K25*F25</f>
        <v>12720.259999999998</v>
      </c>
      <c r="O25" s="12">
        <f>L25*F25</f>
        <v>14537.44</v>
      </c>
      <c r="Q25" s="111" t="s">
        <v>5</v>
      </c>
      <c r="R25" s="112">
        <f t="shared" si="0"/>
        <v>12</v>
      </c>
    </row>
    <row r="26" spans="1:18" x14ac:dyDescent="0.25">
      <c r="A26" s="102">
        <f>IF(Table8[[#This Row],[in-game_name]]&lt;&gt;"",ROW(A25),"")</f>
        <v>25</v>
      </c>
      <c r="B26" s="104" t="s">
        <v>91</v>
      </c>
      <c r="C26" s="92">
        <f>_xlfn.XLOOKUP(B26,Table4[in-game_name],Table4[user_number],"User Not Found")</f>
        <v>33</v>
      </c>
      <c r="D26" s="3">
        <v>44423</v>
      </c>
      <c r="E26" s="1">
        <v>2766</v>
      </c>
      <c r="F26" s="8">
        <v>8.6</v>
      </c>
      <c r="G26" s="1">
        <v>0.2</v>
      </c>
      <c r="H26" s="1">
        <v>0.4</v>
      </c>
      <c r="I26" s="1">
        <v>0.4</v>
      </c>
      <c r="J26" s="13">
        <f>E26*G26</f>
        <v>553.20000000000005</v>
      </c>
      <c r="K26" s="14">
        <f>E26-L26-J26</f>
        <v>1106.3999999999999</v>
      </c>
      <c r="L26" s="14">
        <f>E26*I26</f>
        <v>1106.4000000000001</v>
      </c>
      <c r="M26" s="11">
        <f>J26*F26</f>
        <v>4757.5200000000004</v>
      </c>
      <c r="N26" s="11">
        <f>K26*F26</f>
        <v>9515.0399999999991</v>
      </c>
      <c r="O26" s="12">
        <f>L26*F26</f>
        <v>9515.0400000000009</v>
      </c>
      <c r="Q26" s="111" t="s">
        <v>56</v>
      </c>
      <c r="R26" s="112">
        <f t="shared" si="0"/>
        <v>11</v>
      </c>
    </row>
    <row r="27" spans="1:18" x14ac:dyDescent="0.25">
      <c r="A27" s="102">
        <f>IF(Table8[[#This Row],[in-game_name]]&lt;&gt;"",ROW(A26),"")</f>
        <v>26</v>
      </c>
      <c r="B27" s="104" t="s">
        <v>47</v>
      </c>
      <c r="C27" s="92">
        <f>_xlfn.XLOOKUP(B27,Table4[in-game_name],Table4[user_number],"User Not Found")</f>
        <v>26</v>
      </c>
      <c r="D27" s="3">
        <v>44423</v>
      </c>
      <c r="E27" s="1">
        <v>2597</v>
      </c>
      <c r="F27" s="8">
        <v>7.6</v>
      </c>
      <c r="G27" s="1">
        <v>0.2</v>
      </c>
      <c r="H27" s="1">
        <v>0.4</v>
      </c>
      <c r="I27" s="1">
        <v>0.4</v>
      </c>
      <c r="J27" s="13">
        <f>E27*G27</f>
        <v>519.4</v>
      </c>
      <c r="K27" s="14">
        <f>E27-L27-J27</f>
        <v>1038.8000000000002</v>
      </c>
      <c r="L27" s="14">
        <f>E27*I27</f>
        <v>1038.8</v>
      </c>
      <c r="M27" s="11">
        <f>J27*F27</f>
        <v>3947.4399999999996</v>
      </c>
      <c r="N27" s="11">
        <f>K27*F27</f>
        <v>7894.880000000001</v>
      </c>
      <c r="O27" s="12">
        <f>L27*F27</f>
        <v>7894.8799999999992</v>
      </c>
      <c r="Q27" s="111" t="s">
        <v>80</v>
      </c>
      <c r="R27" s="112">
        <f t="shared" si="0"/>
        <v>11</v>
      </c>
    </row>
    <row r="28" spans="1:18" x14ac:dyDescent="0.25">
      <c r="A28" s="102">
        <f>IF(Table8[[#This Row],[in-game_name]]&lt;&gt;"",ROW(A27),"")</f>
        <v>27</v>
      </c>
      <c r="B28" s="104" t="s">
        <v>46</v>
      </c>
      <c r="C28" s="92">
        <f>_xlfn.XLOOKUP(B28,Table4[in-game_name],Table4[user_number],"User Not Found")</f>
        <v>9</v>
      </c>
      <c r="D28" s="3">
        <v>44423</v>
      </c>
      <c r="E28" s="1">
        <v>3236</v>
      </c>
      <c r="F28" s="8">
        <v>8.3000000000000007</v>
      </c>
      <c r="G28" s="1">
        <v>0.15</v>
      </c>
      <c r="H28" s="1">
        <v>0.35</v>
      </c>
      <c r="I28" s="1">
        <v>0.5</v>
      </c>
      <c r="J28" s="13">
        <f>E28*G28</f>
        <v>485.4</v>
      </c>
      <c r="K28" s="14">
        <f>E28-L28-J28</f>
        <v>1132.5999999999999</v>
      </c>
      <c r="L28" s="14">
        <f>E28*I28</f>
        <v>1618</v>
      </c>
      <c r="M28" s="11">
        <f>J28*F28</f>
        <v>4028.82</v>
      </c>
      <c r="N28" s="11">
        <f>K28*F28</f>
        <v>9400.58</v>
      </c>
      <c r="O28" s="12">
        <f>L28*F28</f>
        <v>13429.400000000001</v>
      </c>
      <c r="Q28" s="111" t="s">
        <v>17</v>
      </c>
      <c r="R28" s="112">
        <f t="shared" si="0"/>
        <v>10</v>
      </c>
    </row>
    <row r="29" spans="1:18" x14ac:dyDescent="0.25">
      <c r="A29" s="102">
        <f>IF(Table8[[#This Row],[in-game_name]]&lt;&gt;"",ROW(A28),"")</f>
        <v>28</v>
      </c>
      <c r="B29" s="104" t="s">
        <v>18</v>
      </c>
      <c r="C29" s="92">
        <f>_xlfn.XLOOKUP(B29,Table4[in-game_name],Table4[user_number],"User Not Found")</f>
        <v>20</v>
      </c>
      <c r="D29" s="3">
        <v>44423</v>
      </c>
      <c r="E29" s="1">
        <v>3821</v>
      </c>
      <c r="F29" s="8">
        <v>8.6</v>
      </c>
      <c r="G29" s="1">
        <v>0.2</v>
      </c>
      <c r="H29" s="1">
        <v>0.4</v>
      </c>
      <c r="I29" s="1">
        <v>0.4</v>
      </c>
      <c r="J29" s="13">
        <f>E29*G29</f>
        <v>764.2</v>
      </c>
      <c r="K29" s="14">
        <f>E29-L29-J29</f>
        <v>1528.3999999999999</v>
      </c>
      <c r="L29" s="14">
        <f>E29*I29</f>
        <v>1528.4</v>
      </c>
      <c r="M29" s="11">
        <f>J29*F29</f>
        <v>6572.12</v>
      </c>
      <c r="N29" s="11">
        <f>K29*F29</f>
        <v>13144.239999999998</v>
      </c>
      <c r="O29" s="12">
        <f>L29*F29</f>
        <v>13144.24</v>
      </c>
      <c r="Q29" s="111" t="s">
        <v>41</v>
      </c>
      <c r="R29" s="112">
        <f t="shared" si="0"/>
        <v>10</v>
      </c>
    </row>
    <row r="30" spans="1:18" x14ac:dyDescent="0.25">
      <c r="A30" s="102">
        <f>IF(Table8[[#This Row],[in-game_name]]&lt;&gt;"",ROW(A29),"")</f>
        <v>29</v>
      </c>
      <c r="B30" s="104" t="s">
        <v>92</v>
      </c>
      <c r="C30" s="92">
        <f>_xlfn.XLOOKUP(B30,Table4[in-game_name],Table4[user_number],"User Not Found")</f>
        <v>17</v>
      </c>
      <c r="D30" s="3">
        <v>44423</v>
      </c>
      <c r="E30" s="1">
        <v>4128</v>
      </c>
      <c r="F30" s="8">
        <v>8.6</v>
      </c>
      <c r="G30" s="1">
        <v>0.25</v>
      </c>
      <c r="H30" s="1">
        <v>0.35</v>
      </c>
      <c r="I30" s="1">
        <v>0.4</v>
      </c>
      <c r="J30" s="13">
        <f>E30*G30</f>
        <v>1032</v>
      </c>
      <c r="K30" s="14">
        <f>E30-L30-J30</f>
        <v>1444.8000000000002</v>
      </c>
      <c r="L30" s="14">
        <f>E30*I30</f>
        <v>1651.2</v>
      </c>
      <c r="M30" s="11">
        <f>J30*F30</f>
        <v>8875.1999999999989</v>
      </c>
      <c r="N30" s="11">
        <f>K30*F30</f>
        <v>12425.28</v>
      </c>
      <c r="O30" s="12">
        <f>L30*F30</f>
        <v>14200.32</v>
      </c>
      <c r="Q30" s="111" t="s">
        <v>47</v>
      </c>
      <c r="R30" s="112">
        <f t="shared" si="0"/>
        <v>10</v>
      </c>
    </row>
    <row r="31" spans="1:18" x14ac:dyDescent="0.25">
      <c r="A31" s="102">
        <f>IF(Table8[[#This Row],[in-game_name]]&lt;&gt;"",ROW(A30),"")</f>
        <v>30</v>
      </c>
      <c r="B31" s="104" t="s">
        <v>92</v>
      </c>
      <c r="C31" s="92">
        <f>_xlfn.XLOOKUP(B31,Table4[in-game_name],Table4[user_number],"User Not Found")</f>
        <v>17</v>
      </c>
      <c r="D31" s="3">
        <v>44423</v>
      </c>
      <c r="E31" s="1">
        <v>1917</v>
      </c>
      <c r="F31" s="8">
        <v>6.6</v>
      </c>
      <c r="G31" s="1">
        <v>0.25</v>
      </c>
      <c r="H31" s="1">
        <v>0.35</v>
      </c>
      <c r="I31" s="1">
        <v>0.4</v>
      </c>
      <c r="J31" s="13">
        <f>E31*G31</f>
        <v>479.25</v>
      </c>
      <c r="K31" s="14">
        <f>E31-L31-J31</f>
        <v>670.94999999999982</v>
      </c>
      <c r="L31" s="14">
        <f>E31*I31</f>
        <v>766.80000000000007</v>
      </c>
      <c r="M31" s="11">
        <f>J31*F31</f>
        <v>3163.0499999999997</v>
      </c>
      <c r="N31" s="11">
        <f>K31*F31</f>
        <v>4428.2699999999986</v>
      </c>
      <c r="O31" s="12">
        <f>L31*F31</f>
        <v>5060.88</v>
      </c>
      <c r="Q31" s="111" t="s">
        <v>19</v>
      </c>
      <c r="R31" s="112">
        <f t="shared" si="0"/>
        <v>10</v>
      </c>
    </row>
    <row r="32" spans="1:18" x14ac:dyDescent="0.25">
      <c r="A32" s="102">
        <f>IF(Table8[[#This Row],[in-game_name]]&lt;&gt;"",ROW(A31),"")</f>
        <v>31</v>
      </c>
      <c r="B32" s="104" t="s">
        <v>80</v>
      </c>
      <c r="C32" s="92">
        <f>_xlfn.XLOOKUP(B32,Table4[in-game_name],Table4[user_number],"User Not Found")</f>
        <v>49</v>
      </c>
      <c r="D32" s="3">
        <v>44423</v>
      </c>
      <c r="E32" s="1">
        <v>4091</v>
      </c>
      <c r="F32" s="8">
        <v>7.5</v>
      </c>
      <c r="G32" s="1">
        <v>0.2</v>
      </c>
      <c r="H32" s="1">
        <v>0.4</v>
      </c>
      <c r="I32" s="1">
        <v>0.4</v>
      </c>
      <c r="J32" s="13">
        <f>E32*G32</f>
        <v>818.2</v>
      </c>
      <c r="K32" s="14">
        <f>E32-L32-J32</f>
        <v>1636.3999999999999</v>
      </c>
      <c r="L32" s="14">
        <f>E32*I32</f>
        <v>1636.4</v>
      </c>
      <c r="M32" s="11">
        <f>J32*F32</f>
        <v>6136.5</v>
      </c>
      <c r="N32" s="11">
        <f>K32*F32</f>
        <v>12272.999999999998</v>
      </c>
      <c r="O32" s="12">
        <f>L32*F32</f>
        <v>12273</v>
      </c>
      <c r="Q32" s="111" t="s">
        <v>43</v>
      </c>
      <c r="R32" s="112">
        <f t="shared" si="0"/>
        <v>10</v>
      </c>
    </row>
    <row r="33" spans="1:18" x14ac:dyDescent="0.25">
      <c r="A33" s="102">
        <f>IF(Table8[[#This Row],[in-game_name]]&lt;&gt;"",ROW(A32),"")</f>
        <v>32</v>
      </c>
      <c r="B33" s="104" t="s">
        <v>6</v>
      </c>
      <c r="C33" s="92">
        <f>_xlfn.XLOOKUP(B33,Table4[in-game_name],Table4[user_number],"User Not Found")</f>
        <v>18</v>
      </c>
      <c r="D33" s="3">
        <v>44423</v>
      </c>
      <c r="E33" s="1">
        <v>3268</v>
      </c>
      <c r="F33" s="8">
        <v>8.6</v>
      </c>
      <c r="G33" s="1">
        <v>0.2</v>
      </c>
      <c r="H33" s="1">
        <v>0.4</v>
      </c>
      <c r="I33" s="1">
        <v>0.4</v>
      </c>
      <c r="J33" s="13">
        <f>E33*G33</f>
        <v>653.6</v>
      </c>
      <c r="K33" s="14">
        <f>E33-L33-J33</f>
        <v>1307.1999999999998</v>
      </c>
      <c r="L33" s="14">
        <f>E33*I33</f>
        <v>1307.2</v>
      </c>
      <c r="M33" s="11">
        <f>J33*F33</f>
        <v>5620.96</v>
      </c>
      <c r="N33" s="11">
        <f>K33*F33</f>
        <v>11241.919999999998</v>
      </c>
      <c r="O33" s="12">
        <f>L33*F33</f>
        <v>11241.92</v>
      </c>
      <c r="Q33" s="111" t="s">
        <v>36</v>
      </c>
      <c r="R33" s="112">
        <f t="shared" si="0"/>
        <v>9</v>
      </c>
    </row>
    <row r="34" spans="1:18" x14ac:dyDescent="0.25">
      <c r="A34" s="102">
        <f>IF(Table8[[#This Row],[in-game_name]]&lt;&gt;"",ROW(A33),"")</f>
        <v>33</v>
      </c>
      <c r="B34" s="104" t="s">
        <v>12</v>
      </c>
      <c r="C34" s="92">
        <f>_xlfn.XLOOKUP(B34,Table4[in-game_name],Table4[user_number],"User Not Found")</f>
        <v>19</v>
      </c>
      <c r="D34" s="3">
        <v>44423</v>
      </c>
      <c r="E34" s="1">
        <v>2438</v>
      </c>
      <c r="F34" s="8">
        <v>8</v>
      </c>
      <c r="G34" s="1">
        <v>0.2</v>
      </c>
      <c r="H34" s="1">
        <v>0.4</v>
      </c>
      <c r="I34" s="1">
        <v>0.4</v>
      </c>
      <c r="J34" s="13">
        <f>E34*G34</f>
        <v>487.6</v>
      </c>
      <c r="K34" s="14">
        <f>E34-L34-J34</f>
        <v>975.19999999999993</v>
      </c>
      <c r="L34" s="14">
        <f>E34*I34</f>
        <v>975.2</v>
      </c>
      <c r="M34" s="11">
        <f>J34*F34</f>
        <v>3900.8</v>
      </c>
      <c r="N34" s="11">
        <f>K34*F34</f>
        <v>7801.5999999999995</v>
      </c>
      <c r="O34" s="12">
        <f>L34*F34</f>
        <v>7801.6</v>
      </c>
      <c r="Q34" s="111" t="s">
        <v>92</v>
      </c>
      <c r="R34" s="112">
        <f t="shared" si="0"/>
        <v>9</v>
      </c>
    </row>
    <row r="35" spans="1:18" x14ac:dyDescent="0.25">
      <c r="A35" s="102">
        <f>IF(Table8[[#This Row],[in-game_name]]&lt;&gt;"",ROW(A34),"")</f>
        <v>34</v>
      </c>
      <c r="B35" s="104" t="s">
        <v>63</v>
      </c>
      <c r="C35" s="92">
        <f>_xlfn.XLOOKUP(B35,Table4[in-game_name],Table4[user_number],"User Not Found")</f>
        <v>29</v>
      </c>
      <c r="D35" s="3">
        <v>44426</v>
      </c>
      <c r="E35" s="1">
        <v>2213</v>
      </c>
      <c r="F35" s="8">
        <v>7.5</v>
      </c>
      <c r="G35" s="1">
        <v>0</v>
      </c>
      <c r="H35" s="1">
        <v>0.36499999999999999</v>
      </c>
      <c r="I35" s="1">
        <v>0.63500000000000001</v>
      </c>
      <c r="J35" s="13">
        <f>E35*G35</f>
        <v>0</v>
      </c>
      <c r="K35" s="14">
        <f>E35-L35-J35</f>
        <v>807.74499999999989</v>
      </c>
      <c r="L35" s="14">
        <f>E35*I35</f>
        <v>1405.2550000000001</v>
      </c>
      <c r="M35" s="11">
        <f>J35*F35</f>
        <v>0</v>
      </c>
      <c r="N35" s="11">
        <f>K35*F35</f>
        <v>6058.0874999999996</v>
      </c>
      <c r="O35" s="12">
        <f>L35*F35</f>
        <v>10539.4125</v>
      </c>
      <c r="Q35" s="111" t="s">
        <v>7</v>
      </c>
      <c r="R35" s="112">
        <f t="shared" si="0"/>
        <v>9</v>
      </c>
    </row>
    <row r="36" spans="1:18" x14ac:dyDescent="0.25">
      <c r="A36" s="102">
        <f>IF(Table8[[#This Row],[in-game_name]]&lt;&gt;"",ROW(A35),"")</f>
        <v>35</v>
      </c>
      <c r="B36" s="104" t="s">
        <v>17</v>
      </c>
      <c r="C36" s="92">
        <f>_xlfn.XLOOKUP(B36,Table4[in-game_name],Table4[user_number],"User Not Found")</f>
        <v>3</v>
      </c>
      <c r="D36" s="3">
        <v>44428</v>
      </c>
      <c r="E36" s="1">
        <v>2458</v>
      </c>
      <c r="F36" s="8">
        <v>7.6</v>
      </c>
      <c r="G36" s="1">
        <v>0</v>
      </c>
      <c r="H36" s="1">
        <v>0.25</v>
      </c>
      <c r="I36" s="1">
        <v>0.75</v>
      </c>
      <c r="J36" s="13">
        <f>E36*G36</f>
        <v>0</v>
      </c>
      <c r="K36" s="14">
        <f>E36-L36-J36</f>
        <v>614.5</v>
      </c>
      <c r="L36" s="14">
        <f>E36*I36</f>
        <v>1843.5</v>
      </c>
      <c r="M36" s="11">
        <f>J36*F36</f>
        <v>0</v>
      </c>
      <c r="N36" s="11">
        <f>K36*F36</f>
        <v>4670.2</v>
      </c>
      <c r="O36" s="12">
        <f>L36*F36</f>
        <v>14010.599999999999</v>
      </c>
      <c r="Q36" s="111" t="s">
        <v>29</v>
      </c>
      <c r="R36" s="112">
        <f t="shared" si="0"/>
        <v>9</v>
      </c>
    </row>
    <row r="37" spans="1:18" x14ac:dyDescent="0.25">
      <c r="A37" s="102">
        <f>IF(Table8[[#This Row],[in-game_name]]&lt;&gt;"",ROW(A36),"")</f>
        <v>36</v>
      </c>
      <c r="B37" s="104" t="s">
        <v>5</v>
      </c>
      <c r="C37" s="92">
        <f>_xlfn.XLOOKUP(B37,Table4[in-game_name],Table4[user_number],"User Not Found")</f>
        <v>1</v>
      </c>
      <c r="D37" s="3">
        <v>44431</v>
      </c>
      <c r="E37" s="1">
        <v>1199</v>
      </c>
      <c r="F37" s="8">
        <v>7.5</v>
      </c>
      <c r="G37" s="1">
        <v>0</v>
      </c>
      <c r="H37" s="1">
        <v>0.5</v>
      </c>
      <c r="I37" s="1">
        <v>0.5</v>
      </c>
      <c r="J37" s="13">
        <f>E37*G37</f>
        <v>0</v>
      </c>
      <c r="K37" s="14">
        <f>E37-L37-J37</f>
        <v>599.5</v>
      </c>
      <c r="L37" s="14">
        <f>E37*I37</f>
        <v>599.5</v>
      </c>
      <c r="M37" s="11">
        <f>J37*F37</f>
        <v>0</v>
      </c>
      <c r="N37" s="11">
        <f>K37*F37</f>
        <v>4496.25</v>
      </c>
      <c r="O37" s="12">
        <f>L37*F37</f>
        <v>4496.25</v>
      </c>
      <c r="Q37" s="111" t="s">
        <v>11</v>
      </c>
      <c r="R37" s="112">
        <f t="shared" si="0"/>
        <v>8</v>
      </c>
    </row>
    <row r="38" spans="1:18" x14ac:dyDescent="0.25">
      <c r="A38" s="102">
        <f>IF(Table8[[#This Row],[in-game_name]]&lt;&gt;"",ROW(A37),"")</f>
        <v>37</v>
      </c>
      <c r="B38" s="104" t="s">
        <v>90</v>
      </c>
      <c r="C38" s="92">
        <f>_xlfn.XLOOKUP(B38,Table4[in-game_name],Table4[user_number],"User Not Found")</f>
        <v>16</v>
      </c>
      <c r="D38" s="3">
        <v>44431</v>
      </c>
      <c r="E38" s="1">
        <v>2685</v>
      </c>
      <c r="F38" s="8">
        <v>6.7</v>
      </c>
      <c r="G38" s="1">
        <v>0.05</v>
      </c>
      <c r="H38" s="1">
        <v>0.45</v>
      </c>
      <c r="I38" s="1">
        <v>0.49999999999999994</v>
      </c>
      <c r="J38" s="13">
        <f>E38*G38</f>
        <v>134.25</v>
      </c>
      <c r="K38" s="14">
        <f>E38-L38-J38</f>
        <v>1208.2500000000002</v>
      </c>
      <c r="L38" s="14">
        <f>E38*I38</f>
        <v>1342.4999999999998</v>
      </c>
      <c r="M38" s="11">
        <f>J38*F38</f>
        <v>899.47500000000002</v>
      </c>
      <c r="N38" s="11">
        <f>K38*F38</f>
        <v>8095.2750000000015</v>
      </c>
      <c r="O38" s="12">
        <f>L38*F38</f>
        <v>8994.7499999999982</v>
      </c>
      <c r="Q38" s="111" t="s">
        <v>74</v>
      </c>
      <c r="R38" s="112">
        <f t="shared" si="0"/>
        <v>8</v>
      </c>
    </row>
    <row r="39" spans="1:18" x14ac:dyDescent="0.25">
      <c r="A39" s="102">
        <f>IF(Table8[[#This Row],[in-game_name]]&lt;&gt;"",ROW(A38),"")</f>
        <v>38</v>
      </c>
      <c r="B39" s="104" t="s">
        <v>27</v>
      </c>
      <c r="C39" s="92">
        <f>_xlfn.XLOOKUP(B39,Table4[in-game_name],Table4[user_number],"User Not Found")</f>
        <v>5</v>
      </c>
      <c r="D39" s="3">
        <v>44431</v>
      </c>
      <c r="E39" s="1">
        <v>2685</v>
      </c>
      <c r="F39" s="8">
        <v>7.5</v>
      </c>
      <c r="G39" s="1">
        <v>0</v>
      </c>
      <c r="H39" s="1">
        <v>0.5</v>
      </c>
      <c r="I39" s="1">
        <v>0.5</v>
      </c>
      <c r="J39" s="13">
        <f>E39*G39</f>
        <v>0</v>
      </c>
      <c r="K39" s="14">
        <f>E39-L39-J39</f>
        <v>1342.5</v>
      </c>
      <c r="L39" s="14">
        <f>E39*I39</f>
        <v>1342.5</v>
      </c>
      <c r="M39" s="11">
        <f>J39*F39</f>
        <v>0</v>
      </c>
      <c r="N39" s="11">
        <f>K39*F39</f>
        <v>10068.75</v>
      </c>
      <c r="O39" s="12">
        <f>L39*F39</f>
        <v>10068.75</v>
      </c>
      <c r="Q39" s="111" t="s">
        <v>28</v>
      </c>
      <c r="R39" s="112">
        <f t="shared" si="0"/>
        <v>8</v>
      </c>
    </row>
    <row r="40" spans="1:18" x14ac:dyDescent="0.25">
      <c r="A40" s="102">
        <f>IF(Table8[[#This Row],[in-game_name]]&lt;&gt;"",ROW(A39),"")</f>
        <v>39</v>
      </c>
      <c r="B40" s="104" t="s">
        <v>27</v>
      </c>
      <c r="C40" s="92">
        <f>_xlfn.XLOOKUP(B40,Table4[in-game_name],Table4[user_number],"User Not Found")</f>
        <v>5</v>
      </c>
      <c r="D40" s="3">
        <v>44435</v>
      </c>
      <c r="E40" s="1">
        <v>384</v>
      </c>
      <c r="F40" s="8">
        <v>4.7</v>
      </c>
      <c r="G40" s="1">
        <v>0.1</v>
      </c>
      <c r="H40" s="1">
        <v>0.4</v>
      </c>
      <c r="I40" s="1">
        <v>0.5</v>
      </c>
      <c r="J40" s="13">
        <f>E40*G40</f>
        <v>38.400000000000006</v>
      </c>
      <c r="K40" s="14">
        <f>E40-L40-J40</f>
        <v>153.6</v>
      </c>
      <c r="L40" s="14">
        <f>E40*I40</f>
        <v>192</v>
      </c>
      <c r="M40" s="11">
        <f>J40*F40</f>
        <v>180.48000000000005</v>
      </c>
      <c r="N40" s="11">
        <f>K40*F40</f>
        <v>721.92</v>
      </c>
      <c r="O40" s="12">
        <f>L40*F40</f>
        <v>902.40000000000009</v>
      </c>
      <c r="Q40" s="111" t="s">
        <v>48</v>
      </c>
      <c r="R40" s="112">
        <f t="shared" si="0"/>
        <v>7</v>
      </c>
    </row>
    <row r="41" spans="1:18" x14ac:dyDescent="0.25">
      <c r="A41" s="102">
        <f>IF(Table8[[#This Row],[in-game_name]]&lt;&gt;"",ROW(A40),"")</f>
        <v>40</v>
      </c>
      <c r="B41" s="104" t="s">
        <v>38</v>
      </c>
      <c r="C41" s="92">
        <f>_xlfn.XLOOKUP(B41,Table4[in-game_name],Table4[user_number],"User Not Found")</f>
        <v>41</v>
      </c>
      <c r="D41" s="3">
        <v>44436</v>
      </c>
      <c r="E41" s="1">
        <v>2694</v>
      </c>
      <c r="F41" s="8">
        <v>6.7</v>
      </c>
      <c r="G41" s="1">
        <v>0.15</v>
      </c>
      <c r="H41" s="1">
        <v>0.4</v>
      </c>
      <c r="I41" s="1">
        <v>0.44999999999999996</v>
      </c>
      <c r="J41" s="13">
        <f>E41*G41</f>
        <v>404.09999999999997</v>
      </c>
      <c r="K41" s="14">
        <f>E41-L41-J41</f>
        <v>1077.6000000000001</v>
      </c>
      <c r="L41" s="14">
        <f>E41*I41</f>
        <v>1212.3</v>
      </c>
      <c r="M41" s="11">
        <f>J41*F41</f>
        <v>2707.47</v>
      </c>
      <c r="N41" s="11">
        <f>K41*F41</f>
        <v>7219.920000000001</v>
      </c>
      <c r="O41" s="12">
        <f>L41*F41</f>
        <v>8122.41</v>
      </c>
      <c r="Q41" s="111" t="s">
        <v>72</v>
      </c>
      <c r="R41" s="112">
        <f t="shared" si="0"/>
        <v>7</v>
      </c>
    </row>
    <row r="42" spans="1:18" x14ac:dyDescent="0.25">
      <c r="A42" s="102">
        <f>IF(Table8[[#This Row],[in-game_name]]&lt;&gt;"",ROW(A41),"")</f>
        <v>41</v>
      </c>
      <c r="B42" s="104" t="s">
        <v>41</v>
      </c>
      <c r="C42" s="92">
        <f>_xlfn.XLOOKUP(B42,Table4[in-game_name],Table4[user_number],"User Not Found")</f>
        <v>8</v>
      </c>
      <c r="D42" s="3">
        <v>44436</v>
      </c>
      <c r="E42" s="1">
        <v>788</v>
      </c>
      <c r="F42" s="8">
        <v>6.3</v>
      </c>
      <c r="G42" s="1">
        <v>0.1</v>
      </c>
      <c r="H42" s="1">
        <v>0.4</v>
      </c>
      <c r="I42" s="1">
        <v>0.5</v>
      </c>
      <c r="J42" s="13">
        <f>E42*G42</f>
        <v>78.800000000000011</v>
      </c>
      <c r="K42" s="14">
        <f>E42-L42-J42</f>
        <v>315.2</v>
      </c>
      <c r="L42" s="14">
        <f>E42*I42</f>
        <v>394</v>
      </c>
      <c r="M42" s="11">
        <f>J42*F42</f>
        <v>496.44000000000005</v>
      </c>
      <c r="N42" s="11">
        <f>K42*F42</f>
        <v>1985.7599999999998</v>
      </c>
      <c r="O42" s="12">
        <f>L42*F42</f>
        <v>2482.1999999999998</v>
      </c>
      <c r="Q42" s="111" t="s">
        <v>37</v>
      </c>
      <c r="R42" s="112">
        <f t="shared" si="0"/>
        <v>6</v>
      </c>
    </row>
    <row r="43" spans="1:18" x14ac:dyDescent="0.25">
      <c r="A43" s="102">
        <f>IF(Table8[[#This Row],[in-game_name]]&lt;&gt;"",ROW(A42),"")</f>
        <v>42</v>
      </c>
      <c r="B43" s="104" t="s">
        <v>71</v>
      </c>
      <c r="C43" s="92">
        <f>_xlfn.XLOOKUP(B43,Table4[in-game_name],Table4[user_number],"User Not Found")</f>
        <v>30</v>
      </c>
      <c r="D43" s="3">
        <v>44437</v>
      </c>
      <c r="E43" s="1">
        <v>2587</v>
      </c>
      <c r="F43" s="8">
        <v>6.6</v>
      </c>
      <c r="G43" s="1">
        <v>0.25</v>
      </c>
      <c r="H43" s="1">
        <v>0.35</v>
      </c>
      <c r="I43" s="1">
        <v>0.4</v>
      </c>
      <c r="J43" s="13">
        <f>E43*G43</f>
        <v>646.75</v>
      </c>
      <c r="K43" s="14">
        <f>E43-L43-J43</f>
        <v>905.45</v>
      </c>
      <c r="L43" s="14">
        <f>E43*I43</f>
        <v>1034.8</v>
      </c>
      <c r="M43" s="11">
        <f>J43*F43</f>
        <v>4268.55</v>
      </c>
      <c r="N43" s="11">
        <f>K43*F43</f>
        <v>5975.97</v>
      </c>
      <c r="O43" s="12">
        <f>L43*F43</f>
        <v>6829.6799999999994</v>
      </c>
      <c r="Q43" s="111" t="s">
        <v>25</v>
      </c>
      <c r="R43" s="112">
        <f t="shared" si="0"/>
        <v>6</v>
      </c>
    </row>
    <row r="44" spans="1:18" x14ac:dyDescent="0.25">
      <c r="A44" s="102">
        <f>IF(Table8[[#This Row],[in-game_name]]&lt;&gt;"",ROW(A43),"")</f>
        <v>43</v>
      </c>
      <c r="B44" s="104" t="s">
        <v>91</v>
      </c>
      <c r="C44" s="92">
        <f>_xlfn.XLOOKUP(B44,Table4[in-game_name],Table4[user_number],"User Not Found")</f>
        <v>33</v>
      </c>
      <c r="D44" s="3">
        <v>44437</v>
      </c>
      <c r="E44" s="1">
        <v>2280</v>
      </c>
      <c r="F44" s="8">
        <v>6.6</v>
      </c>
      <c r="G44" s="1">
        <v>0.2</v>
      </c>
      <c r="H44" s="1">
        <v>0.4</v>
      </c>
      <c r="I44" s="1">
        <v>0.4</v>
      </c>
      <c r="J44" s="13">
        <f>E44*G44</f>
        <v>456</v>
      </c>
      <c r="K44" s="14">
        <f>E44-L44-J44</f>
        <v>912</v>
      </c>
      <c r="L44" s="14">
        <f>E44*I44</f>
        <v>912</v>
      </c>
      <c r="M44" s="11">
        <f>J44*F44</f>
        <v>3009.6</v>
      </c>
      <c r="N44" s="11">
        <f>K44*F44</f>
        <v>6019.2</v>
      </c>
      <c r="O44" s="12">
        <f>L44*F44</f>
        <v>6019.2</v>
      </c>
      <c r="Q44" s="111" t="s">
        <v>70</v>
      </c>
      <c r="R44" s="112">
        <f t="shared" si="0"/>
        <v>5</v>
      </c>
    </row>
    <row r="45" spans="1:18" x14ac:dyDescent="0.25">
      <c r="A45" s="102">
        <f>IF(Table8[[#This Row],[in-game_name]]&lt;&gt;"",ROW(A44),"")</f>
        <v>44</v>
      </c>
      <c r="B45" s="104" t="s">
        <v>47</v>
      </c>
      <c r="C45" s="92">
        <f>_xlfn.XLOOKUP(B45,Table4[in-game_name],Table4[user_number],"User Not Found")</f>
        <v>26</v>
      </c>
      <c r="D45" s="3">
        <v>44437</v>
      </c>
      <c r="E45" s="1">
        <v>2630</v>
      </c>
      <c r="F45" s="8">
        <v>6.6</v>
      </c>
      <c r="G45" s="1">
        <v>0.2</v>
      </c>
      <c r="H45" s="1">
        <v>0.4</v>
      </c>
      <c r="I45" s="1">
        <v>0.4</v>
      </c>
      <c r="J45" s="13">
        <f>E45*G45</f>
        <v>526</v>
      </c>
      <c r="K45" s="14">
        <f>E45-L45-J45</f>
        <v>1052</v>
      </c>
      <c r="L45" s="14">
        <f>E45*I45</f>
        <v>1052</v>
      </c>
      <c r="M45" s="11">
        <f>J45*F45</f>
        <v>3471.6</v>
      </c>
      <c r="N45" s="11">
        <f>K45*F45</f>
        <v>6943.2</v>
      </c>
      <c r="O45" s="12">
        <f>L45*F45</f>
        <v>6943.2</v>
      </c>
      <c r="Q45" s="111" t="s">
        <v>33</v>
      </c>
      <c r="R45" s="112">
        <f t="shared" si="0"/>
        <v>4</v>
      </c>
    </row>
    <row r="46" spans="1:18" x14ac:dyDescent="0.25">
      <c r="A46" s="102">
        <f>IF(Table8[[#This Row],[in-game_name]]&lt;&gt;"",ROW(A45),"")</f>
        <v>45</v>
      </c>
      <c r="B46" s="104" t="s">
        <v>29</v>
      </c>
      <c r="C46" s="92">
        <f>_xlfn.XLOOKUP(B46,Table4[in-game_name],Table4[user_number],"User Not Found")</f>
        <v>39</v>
      </c>
      <c r="D46" s="3">
        <v>44437</v>
      </c>
      <c r="E46" s="1">
        <v>3788</v>
      </c>
      <c r="F46" s="8">
        <v>6.6</v>
      </c>
      <c r="G46" s="1">
        <v>0.2</v>
      </c>
      <c r="H46" s="1">
        <v>0.4</v>
      </c>
      <c r="I46" s="1">
        <v>0.4</v>
      </c>
      <c r="J46" s="13">
        <f>E46*G46</f>
        <v>757.6</v>
      </c>
      <c r="K46" s="14">
        <f>E46-L46-J46</f>
        <v>1515.2000000000003</v>
      </c>
      <c r="L46" s="14">
        <f>E46*I46</f>
        <v>1515.2</v>
      </c>
      <c r="M46" s="11">
        <f>J46*F46</f>
        <v>5000.16</v>
      </c>
      <c r="N46" s="11">
        <f>K46*F46</f>
        <v>10000.320000000002</v>
      </c>
      <c r="O46" s="12">
        <f>L46*F46</f>
        <v>10000.32</v>
      </c>
      <c r="Q46" s="111" t="s">
        <v>12</v>
      </c>
      <c r="R46" s="112">
        <f t="shared" si="0"/>
        <v>3</v>
      </c>
    </row>
    <row r="47" spans="1:18" x14ac:dyDescent="0.25">
      <c r="A47" s="102">
        <f>IF(Table8[[#This Row],[in-game_name]]&lt;&gt;"",ROW(A46),"")</f>
        <v>46</v>
      </c>
      <c r="B47" s="104" t="s">
        <v>18</v>
      </c>
      <c r="C47" s="92">
        <f>_xlfn.XLOOKUP(B47,Table4[in-game_name],Table4[user_number],"User Not Found")</f>
        <v>20</v>
      </c>
      <c r="D47" s="3">
        <v>44437</v>
      </c>
      <c r="E47" s="1">
        <v>2219</v>
      </c>
      <c r="F47" s="8">
        <v>6.6</v>
      </c>
      <c r="G47" s="1">
        <v>0.2</v>
      </c>
      <c r="H47" s="1">
        <v>0.4</v>
      </c>
      <c r="I47" s="1">
        <v>0.4</v>
      </c>
      <c r="J47" s="13">
        <f>E47*G47</f>
        <v>443.8</v>
      </c>
      <c r="K47" s="14">
        <f>E47-L47-J47</f>
        <v>887.60000000000014</v>
      </c>
      <c r="L47" s="14">
        <f>E47*I47</f>
        <v>887.6</v>
      </c>
      <c r="M47" s="11">
        <f>J47*F47</f>
        <v>2929.08</v>
      </c>
      <c r="N47" s="11">
        <f>K47*F47</f>
        <v>5858.1600000000008</v>
      </c>
      <c r="O47" s="12">
        <f>L47*F47</f>
        <v>5858.16</v>
      </c>
      <c r="Q47" s="111" t="s">
        <v>23</v>
      </c>
      <c r="R47" s="112">
        <f t="shared" si="0"/>
        <v>2</v>
      </c>
    </row>
    <row r="48" spans="1:18" x14ac:dyDescent="0.25">
      <c r="A48" s="102">
        <f>IF(Table8[[#This Row],[in-game_name]]&lt;&gt;"",ROW(A47),"")</f>
        <v>47</v>
      </c>
      <c r="B48" s="104" t="s">
        <v>80</v>
      </c>
      <c r="C48" s="92">
        <f>_xlfn.XLOOKUP(B48,Table4[in-game_name],Table4[user_number],"User Not Found")</f>
        <v>49</v>
      </c>
      <c r="D48" s="3">
        <v>44437</v>
      </c>
      <c r="E48" s="1">
        <v>2263</v>
      </c>
      <c r="F48" s="8">
        <v>6.6</v>
      </c>
      <c r="G48" s="1">
        <v>0.2</v>
      </c>
      <c r="H48" s="1">
        <v>0.4</v>
      </c>
      <c r="I48" s="1">
        <v>0.4</v>
      </c>
      <c r="J48" s="13">
        <f>E48*G48</f>
        <v>452.6</v>
      </c>
      <c r="K48" s="14">
        <f>E48-L48-J48</f>
        <v>905.19999999999993</v>
      </c>
      <c r="L48" s="14">
        <f>E48*I48</f>
        <v>905.2</v>
      </c>
      <c r="M48" s="11">
        <f>J48*F48</f>
        <v>2987.16</v>
      </c>
      <c r="N48" s="11">
        <f>K48*F48</f>
        <v>5974.3199999999988</v>
      </c>
      <c r="O48" s="12">
        <f>L48*F48</f>
        <v>5974.32</v>
      </c>
      <c r="Q48" s="111" t="s">
        <v>27</v>
      </c>
      <c r="R48" s="112">
        <f t="shared" si="0"/>
        <v>2</v>
      </c>
    </row>
    <row r="49" spans="1:18" x14ac:dyDescent="0.25">
      <c r="A49" s="102">
        <f>IF(Table8[[#This Row],[in-game_name]]&lt;&gt;"",ROW(A48),"")</f>
        <v>48</v>
      </c>
      <c r="B49" s="104" t="s">
        <v>6</v>
      </c>
      <c r="C49" s="92">
        <f>_xlfn.XLOOKUP(B49,Table4[in-game_name],Table4[user_number],"User Not Found")</f>
        <v>18</v>
      </c>
      <c r="D49" s="3">
        <v>44437</v>
      </c>
      <c r="E49" s="1">
        <v>1219</v>
      </c>
      <c r="F49" s="8">
        <v>6.6</v>
      </c>
      <c r="G49" s="1">
        <v>0.2</v>
      </c>
      <c r="H49" s="1">
        <v>0.4</v>
      </c>
      <c r="I49" s="1">
        <v>0.4</v>
      </c>
      <c r="J49" s="13">
        <f>E49*G49</f>
        <v>243.8</v>
      </c>
      <c r="K49" s="14">
        <f>E49-L49-J49</f>
        <v>487.59999999999997</v>
      </c>
      <c r="L49" s="14">
        <f>E49*I49</f>
        <v>487.6</v>
      </c>
      <c r="M49" s="11">
        <f>J49*F49</f>
        <v>1609.08</v>
      </c>
      <c r="N49" s="11">
        <f>K49*F49</f>
        <v>3218.1599999999994</v>
      </c>
      <c r="O49" s="12">
        <f>L49*F49</f>
        <v>3218.16</v>
      </c>
      <c r="Q49" s="111" t="s">
        <v>51</v>
      </c>
      <c r="R49" s="112">
        <f t="shared" si="0"/>
        <v>2</v>
      </c>
    </row>
    <row r="50" spans="1:18" x14ac:dyDescent="0.25">
      <c r="A50" s="102">
        <f>IF(Table8[[#This Row],[in-game_name]]&lt;&gt;"",ROW(A49),"")</f>
        <v>49</v>
      </c>
      <c r="B50" s="104" t="s">
        <v>12</v>
      </c>
      <c r="C50" s="92">
        <f>_xlfn.XLOOKUP(B50,Table4[in-game_name],Table4[user_number],"User Not Found")</f>
        <v>19</v>
      </c>
      <c r="D50" s="3">
        <v>44437</v>
      </c>
      <c r="E50" s="1">
        <v>1278</v>
      </c>
      <c r="F50" s="8">
        <v>6.6</v>
      </c>
      <c r="G50" s="1">
        <v>0.2</v>
      </c>
      <c r="H50" s="1">
        <v>0.4</v>
      </c>
      <c r="I50" s="1">
        <v>0.4</v>
      </c>
      <c r="J50" s="13">
        <f>E50*G50</f>
        <v>255.60000000000002</v>
      </c>
      <c r="K50" s="14">
        <f>E50-L50-J50</f>
        <v>511.19999999999993</v>
      </c>
      <c r="L50" s="14">
        <f>E50*I50</f>
        <v>511.20000000000005</v>
      </c>
      <c r="M50" s="11">
        <f>J50*F50</f>
        <v>1686.96</v>
      </c>
      <c r="N50" s="11">
        <f>K50*F50</f>
        <v>3373.9199999999992</v>
      </c>
      <c r="O50" s="12">
        <f>L50*F50</f>
        <v>3373.92</v>
      </c>
      <c r="Q50" s="111" t="s">
        <v>62</v>
      </c>
      <c r="R50" s="112">
        <f t="shared" si="0"/>
        <v>2</v>
      </c>
    </row>
    <row r="51" spans="1:18" x14ac:dyDescent="0.25">
      <c r="A51" s="102">
        <f>IF(Table8[[#This Row],[in-game_name]]&lt;&gt;"",ROW(A50),"")</f>
        <v>50</v>
      </c>
      <c r="B51" s="104" t="s">
        <v>74</v>
      </c>
      <c r="C51" s="92">
        <f>_xlfn.XLOOKUP(B51,Table4[in-game_name],Table4[user_number],"User Not Found")</f>
        <v>14</v>
      </c>
      <c r="D51" s="3">
        <v>44438</v>
      </c>
      <c r="E51" s="1">
        <v>2950</v>
      </c>
      <c r="F51" s="8">
        <v>5.8</v>
      </c>
      <c r="G51" s="1">
        <v>0.2</v>
      </c>
      <c r="H51" s="1">
        <v>0.4</v>
      </c>
      <c r="I51" s="1">
        <v>0.4</v>
      </c>
      <c r="J51" s="13">
        <f>E51*G51</f>
        <v>590</v>
      </c>
      <c r="K51" s="14">
        <f>E51-L51-J51</f>
        <v>1180</v>
      </c>
      <c r="L51" s="14">
        <f>E51*I51</f>
        <v>1180</v>
      </c>
      <c r="M51" s="11">
        <f>J51*F51</f>
        <v>3422</v>
      </c>
      <c r="N51" s="11">
        <f>K51*F51</f>
        <v>6844</v>
      </c>
      <c r="O51" s="12">
        <f>L51*F51</f>
        <v>6844</v>
      </c>
      <c r="Q51" s="111" t="s">
        <v>78</v>
      </c>
      <c r="R51" s="112">
        <f t="shared" si="0"/>
        <v>2</v>
      </c>
    </row>
    <row r="52" spans="1:18" x14ac:dyDescent="0.25">
      <c r="A52" s="102">
        <f>IF(Table8[[#This Row],[in-game_name]]&lt;&gt;"",ROW(A51),"")</f>
        <v>51</v>
      </c>
      <c r="B52" s="104" t="s">
        <v>11</v>
      </c>
      <c r="C52" s="92">
        <f>_xlfn.XLOOKUP(B52,Table4[in-game_name],Table4[user_number],"User Not Found")</f>
        <v>2</v>
      </c>
      <c r="D52" s="3">
        <v>44439</v>
      </c>
      <c r="E52" s="1">
        <v>948</v>
      </c>
      <c r="F52" s="8">
        <v>6.4</v>
      </c>
      <c r="G52" s="1">
        <v>0</v>
      </c>
      <c r="H52" s="1">
        <v>0.4</v>
      </c>
      <c r="I52" s="1">
        <v>0.6</v>
      </c>
      <c r="J52" s="13">
        <f>E52*G52</f>
        <v>0</v>
      </c>
      <c r="K52" s="14">
        <f>E52-L52-J52</f>
        <v>379.20000000000005</v>
      </c>
      <c r="L52" s="14">
        <f>E52*I52</f>
        <v>568.79999999999995</v>
      </c>
      <c r="M52" s="11">
        <f>J52*F52</f>
        <v>0</v>
      </c>
      <c r="N52" s="11">
        <f>K52*F52</f>
        <v>2426.8800000000006</v>
      </c>
      <c r="O52" s="12">
        <f>L52*F52</f>
        <v>3640.3199999999997</v>
      </c>
      <c r="Q52" s="113" t="s">
        <v>6</v>
      </c>
      <c r="R52" s="112">
        <f t="shared" ref="R52:R68" si="1">COUNTIF($B$2:$B$301,Q52)</f>
        <v>2</v>
      </c>
    </row>
    <row r="53" spans="1:18" x14ac:dyDescent="0.25">
      <c r="A53" s="102">
        <f>IF(Table8[[#This Row],[in-game_name]]&lt;&gt;"",ROW(A52),"")</f>
        <v>52</v>
      </c>
      <c r="B53" s="104" t="s">
        <v>37</v>
      </c>
      <c r="C53" s="92">
        <f>_xlfn.XLOOKUP(B53,Table4[in-game_name],Table4[user_number],"User Not Found")</f>
        <v>24</v>
      </c>
      <c r="D53" s="3">
        <v>44439</v>
      </c>
      <c r="E53" s="1">
        <v>1591</v>
      </c>
      <c r="F53" s="8">
        <v>6.57</v>
      </c>
      <c r="G53" s="1">
        <v>0.1</v>
      </c>
      <c r="H53" s="1">
        <v>0.4</v>
      </c>
      <c r="I53" s="1">
        <v>0.5</v>
      </c>
      <c r="J53" s="13">
        <f>E53*G53</f>
        <v>159.10000000000002</v>
      </c>
      <c r="K53" s="14">
        <f>E53-L53-J53</f>
        <v>636.4</v>
      </c>
      <c r="L53" s="14">
        <f>E53*I53</f>
        <v>795.5</v>
      </c>
      <c r="M53" s="11">
        <f>J53*F53</f>
        <v>1045.2870000000003</v>
      </c>
      <c r="N53" s="11">
        <f>K53*F53</f>
        <v>4181.1480000000001</v>
      </c>
      <c r="O53" s="12">
        <f>L53*F53</f>
        <v>5226.4350000000004</v>
      </c>
      <c r="Q53" s="111" t="s">
        <v>18</v>
      </c>
      <c r="R53" s="112">
        <f t="shared" si="1"/>
        <v>2</v>
      </c>
    </row>
    <row r="54" spans="1:18" x14ac:dyDescent="0.25">
      <c r="A54" s="102">
        <f>IF(Table8[[#This Row],[in-game_name]]&lt;&gt;"",ROW(A53),"")</f>
        <v>53</v>
      </c>
      <c r="B54" s="104" t="s">
        <v>36</v>
      </c>
      <c r="C54" s="92">
        <f>_xlfn.XLOOKUP(B54,Table4[in-game_name],Table4[user_number],"User Not Found")</f>
        <v>7</v>
      </c>
      <c r="D54" s="3">
        <v>44439</v>
      </c>
      <c r="E54" s="1">
        <v>989</v>
      </c>
      <c r="F54" s="8">
        <v>4.3</v>
      </c>
      <c r="G54" s="1">
        <v>0.15</v>
      </c>
      <c r="H54" s="1">
        <v>0.25</v>
      </c>
      <c r="I54" s="1">
        <v>0.6</v>
      </c>
      <c r="J54" s="13">
        <f>E54*G54</f>
        <v>148.35</v>
      </c>
      <c r="K54" s="14">
        <f>E54-L54-J54</f>
        <v>247.25000000000003</v>
      </c>
      <c r="L54" s="14">
        <f>E54*I54</f>
        <v>593.4</v>
      </c>
      <c r="M54" s="11">
        <f>J54*F54</f>
        <v>637.90499999999997</v>
      </c>
      <c r="N54" s="11">
        <f>K54*F54</f>
        <v>1063.1750000000002</v>
      </c>
      <c r="O54" s="12">
        <f>L54*F54</f>
        <v>2551.62</v>
      </c>
      <c r="Q54" s="111" t="s">
        <v>42</v>
      </c>
      <c r="R54" s="112">
        <f t="shared" si="1"/>
        <v>2</v>
      </c>
    </row>
    <row r="55" spans="1:18" x14ac:dyDescent="0.25">
      <c r="A55" s="102">
        <f>IF(Table8[[#This Row],[in-game_name]]&lt;&gt;"",ROW(A54),"")</f>
        <v>54</v>
      </c>
      <c r="B55" s="104" t="s">
        <v>46</v>
      </c>
      <c r="C55" s="92">
        <f>_xlfn.XLOOKUP(B55,Table4[in-game_name],Table4[user_number],"User Not Found")</f>
        <v>9</v>
      </c>
      <c r="D55" s="3">
        <v>44439</v>
      </c>
      <c r="E55" s="1">
        <v>2733</v>
      </c>
      <c r="F55" s="8">
        <v>5</v>
      </c>
      <c r="G55" s="1">
        <v>0.15</v>
      </c>
      <c r="H55" s="1">
        <v>0.35</v>
      </c>
      <c r="I55" s="1">
        <v>0.5</v>
      </c>
      <c r="J55" s="13">
        <f>E55*G55</f>
        <v>409.95</v>
      </c>
      <c r="K55" s="14">
        <f>E55-L55-J55</f>
        <v>956.55</v>
      </c>
      <c r="L55" s="14">
        <f>E55*I55</f>
        <v>1366.5</v>
      </c>
      <c r="M55" s="11">
        <f>J55*F55</f>
        <v>2049.75</v>
      </c>
      <c r="N55" s="11">
        <f>K55*F55</f>
        <v>4782.75</v>
      </c>
      <c r="O55" s="12">
        <f>L55*F55</f>
        <v>6832.5</v>
      </c>
      <c r="Q55" s="111" t="s">
        <v>52</v>
      </c>
      <c r="R55" s="112">
        <f t="shared" si="1"/>
        <v>2</v>
      </c>
    </row>
    <row r="56" spans="1:18" x14ac:dyDescent="0.25">
      <c r="A56" s="102">
        <f>IF(Table8[[#This Row],[in-game_name]]&lt;&gt;"",ROW(A55),"")</f>
        <v>55</v>
      </c>
      <c r="B56" s="104" t="s">
        <v>5</v>
      </c>
      <c r="C56" s="92">
        <f>_xlfn.XLOOKUP(B56,Table4[in-game_name],Table4[user_number],"User Not Found")</f>
        <v>1</v>
      </c>
      <c r="D56" s="3">
        <v>44441</v>
      </c>
      <c r="E56" s="1">
        <v>1895</v>
      </c>
      <c r="F56" s="8">
        <v>6</v>
      </c>
      <c r="G56" s="1">
        <v>0</v>
      </c>
      <c r="H56" s="1">
        <v>1</v>
      </c>
      <c r="I56" s="1">
        <v>0</v>
      </c>
      <c r="J56" s="13">
        <f>E56*G56</f>
        <v>0</v>
      </c>
      <c r="K56" s="14">
        <f>E56-L56-J56</f>
        <v>1895</v>
      </c>
      <c r="L56" s="14">
        <f>E56*I56</f>
        <v>0</v>
      </c>
      <c r="M56" s="11">
        <f>J56*F56</f>
        <v>0</v>
      </c>
      <c r="N56" s="11">
        <f>K56*F56</f>
        <v>11370</v>
      </c>
      <c r="O56" s="12">
        <f>L56*F56</f>
        <v>0</v>
      </c>
      <c r="Q56" s="111" t="s">
        <v>63</v>
      </c>
      <c r="R56" s="112">
        <f t="shared" si="1"/>
        <v>2</v>
      </c>
    </row>
    <row r="57" spans="1:18" x14ac:dyDescent="0.25">
      <c r="A57" s="102">
        <f>IF(Table8[[#This Row],[in-game_name]]&lt;&gt;"",ROW(A56),"")</f>
        <v>56</v>
      </c>
      <c r="B57" s="104" t="s">
        <v>17</v>
      </c>
      <c r="C57" s="92">
        <f>_xlfn.XLOOKUP(B57,Table4[in-game_name],Table4[user_number],"User Not Found")</f>
        <v>3</v>
      </c>
      <c r="D57" s="3">
        <v>44442</v>
      </c>
      <c r="E57" s="1">
        <v>830</v>
      </c>
      <c r="F57" s="8">
        <v>6.7</v>
      </c>
      <c r="G57" s="1">
        <v>0</v>
      </c>
      <c r="H57" s="1">
        <v>0.5</v>
      </c>
      <c r="I57" s="1">
        <v>0.5</v>
      </c>
      <c r="J57" s="13">
        <f>E57*G57</f>
        <v>0</v>
      </c>
      <c r="K57" s="14">
        <f>E57-L57-J57</f>
        <v>415</v>
      </c>
      <c r="L57" s="14">
        <f>E57*I57</f>
        <v>415</v>
      </c>
      <c r="M57" s="11">
        <f>J57*F57</f>
        <v>0</v>
      </c>
      <c r="N57" s="11">
        <f>K57*F57</f>
        <v>2780.5</v>
      </c>
      <c r="O57" s="12">
        <f>L57*F57</f>
        <v>2780.5</v>
      </c>
      <c r="Q57" s="111" t="s">
        <v>75</v>
      </c>
      <c r="R57" s="112">
        <f t="shared" si="1"/>
        <v>2</v>
      </c>
    </row>
    <row r="58" spans="1:18" x14ac:dyDescent="0.25">
      <c r="A58" s="102">
        <f>IF(Table8[[#This Row],[in-game_name]]&lt;&gt;"",ROW(A57),"")</f>
        <v>57</v>
      </c>
      <c r="B58" s="104" t="s">
        <v>19</v>
      </c>
      <c r="C58" s="92">
        <f>_xlfn.XLOOKUP(B58,Table4[in-game_name],Table4[user_number],"User Not Found")</f>
        <v>37</v>
      </c>
      <c r="D58" s="3">
        <v>44442</v>
      </c>
      <c r="E58" s="1">
        <v>1134</v>
      </c>
      <c r="F58" s="8">
        <v>6.7</v>
      </c>
      <c r="G58" s="1">
        <v>0.15</v>
      </c>
      <c r="H58" s="1">
        <v>0.35</v>
      </c>
      <c r="I58" s="1">
        <v>0.5</v>
      </c>
      <c r="J58" s="13">
        <f>E58*G58</f>
        <v>170.1</v>
      </c>
      <c r="K58" s="14">
        <f>E58-L58-J58</f>
        <v>396.9</v>
      </c>
      <c r="L58" s="14">
        <f>E58*I58</f>
        <v>567</v>
      </c>
      <c r="M58" s="11">
        <f>J58*F58</f>
        <v>1139.67</v>
      </c>
      <c r="N58" s="11">
        <f>K58*F58</f>
        <v>2659.23</v>
      </c>
      <c r="O58" s="12">
        <f>L58*F58</f>
        <v>3798.9</v>
      </c>
      <c r="Q58" s="111" t="s">
        <v>79</v>
      </c>
      <c r="R58" s="112">
        <f t="shared" si="1"/>
        <v>2</v>
      </c>
    </row>
    <row r="59" spans="1:18" x14ac:dyDescent="0.25">
      <c r="A59" s="102">
        <f>IF(Table8[[#This Row],[in-game_name]]&lt;&gt;"",ROW(A58),"")</f>
        <v>58</v>
      </c>
      <c r="B59" s="104" t="s">
        <v>90</v>
      </c>
      <c r="C59" s="92">
        <f>_xlfn.XLOOKUP(B59,Table4[in-game_name],Table4[user_number],"User Not Found")</f>
        <v>16</v>
      </c>
      <c r="D59" s="3">
        <v>44445</v>
      </c>
      <c r="E59" s="1">
        <v>3261</v>
      </c>
      <c r="F59" s="8">
        <v>5.92</v>
      </c>
      <c r="G59" s="1">
        <v>0</v>
      </c>
      <c r="H59" s="1">
        <v>0.5</v>
      </c>
      <c r="I59" s="1">
        <v>0.5</v>
      </c>
      <c r="J59" s="13">
        <f>E59*G59</f>
        <v>0</v>
      </c>
      <c r="K59" s="14">
        <f>E59-L59-J59</f>
        <v>1630.5</v>
      </c>
      <c r="L59" s="14">
        <f>E59*I59</f>
        <v>1630.5</v>
      </c>
      <c r="M59" s="11">
        <f>J59*F59</f>
        <v>0</v>
      </c>
      <c r="N59" s="11">
        <f>K59*F59</f>
        <v>9652.56</v>
      </c>
      <c r="O59" s="12">
        <f>L59*F59</f>
        <v>9652.56</v>
      </c>
      <c r="Q59" s="111" t="s">
        <v>57</v>
      </c>
      <c r="R59" s="112">
        <f t="shared" si="1"/>
        <v>2</v>
      </c>
    </row>
    <row r="60" spans="1:18" x14ac:dyDescent="0.25">
      <c r="A60" s="102">
        <f>IF(Table8[[#This Row],[in-game_name]]&lt;&gt;"",ROW(A59),"")</f>
        <v>59</v>
      </c>
      <c r="B60" s="104" t="s">
        <v>38</v>
      </c>
      <c r="C60" s="92">
        <f>_xlfn.XLOOKUP(B60,Table4[in-game_name],Table4[user_number],"User Not Found")</f>
        <v>41</v>
      </c>
      <c r="D60" s="3">
        <v>44446</v>
      </c>
      <c r="E60" s="1">
        <v>1348</v>
      </c>
      <c r="F60" s="8">
        <v>4.7</v>
      </c>
      <c r="G60" s="1">
        <v>0.1</v>
      </c>
      <c r="H60" s="1">
        <v>0.4</v>
      </c>
      <c r="I60" s="1">
        <v>0.5</v>
      </c>
      <c r="J60" s="13">
        <f>E60*G60</f>
        <v>134.80000000000001</v>
      </c>
      <c r="K60" s="14">
        <f>E60-L60-J60</f>
        <v>539.20000000000005</v>
      </c>
      <c r="L60" s="14">
        <f>E60*I60</f>
        <v>674</v>
      </c>
      <c r="M60" s="11">
        <f>J60*F60</f>
        <v>633.56000000000006</v>
      </c>
      <c r="N60" s="11">
        <f>K60*F60</f>
        <v>2534.2400000000002</v>
      </c>
      <c r="O60" s="12">
        <f>L60*F60</f>
        <v>3167.8</v>
      </c>
      <c r="Q60" s="111" t="s">
        <v>31</v>
      </c>
      <c r="R60" s="112">
        <f t="shared" si="1"/>
        <v>1</v>
      </c>
    </row>
    <row r="61" spans="1:18" x14ac:dyDescent="0.25">
      <c r="A61" s="102">
        <f>IF(Table8[[#This Row],[in-game_name]]&lt;&gt;"",ROW(A60),"")</f>
        <v>60</v>
      </c>
      <c r="B61" s="104" t="s">
        <v>38</v>
      </c>
      <c r="C61" s="92">
        <f>_xlfn.XLOOKUP(B61,Table4[in-game_name],Table4[user_number],"User Not Found")</f>
        <v>41</v>
      </c>
      <c r="D61" s="3">
        <v>44447</v>
      </c>
      <c r="E61" s="1">
        <v>132</v>
      </c>
      <c r="F61" s="8">
        <v>3</v>
      </c>
      <c r="G61" s="1">
        <v>0.1</v>
      </c>
      <c r="H61" s="1">
        <v>0.4</v>
      </c>
      <c r="I61" s="1">
        <v>0.5</v>
      </c>
      <c r="J61" s="13">
        <f>E61*G61</f>
        <v>13.200000000000001</v>
      </c>
      <c r="K61" s="14">
        <f>E61-L61-J61</f>
        <v>52.8</v>
      </c>
      <c r="L61" s="14">
        <f>E61*I61</f>
        <v>66</v>
      </c>
      <c r="M61" s="11">
        <f>J61*F61</f>
        <v>39.6</v>
      </c>
      <c r="N61" s="11">
        <f>K61*F61</f>
        <v>158.39999999999998</v>
      </c>
      <c r="O61" s="12">
        <f>L61*F61</f>
        <v>198</v>
      </c>
      <c r="Q61" s="111" t="s">
        <v>55</v>
      </c>
      <c r="R61" s="112">
        <f t="shared" si="1"/>
        <v>1</v>
      </c>
    </row>
    <row r="62" spans="1:18" x14ac:dyDescent="0.25">
      <c r="A62" s="102">
        <f>IF(Table8[[#This Row],[in-game_name]]&lt;&gt;"",ROW(A61),"")</f>
        <v>61</v>
      </c>
      <c r="B62" s="104" t="s">
        <v>11</v>
      </c>
      <c r="C62" s="92">
        <f>_xlfn.XLOOKUP(B62,Table4[in-game_name],Table4[user_number],"User Not Found")</f>
        <v>2</v>
      </c>
      <c r="D62" s="3">
        <v>44470</v>
      </c>
      <c r="E62" s="1">
        <v>2333</v>
      </c>
      <c r="F62" s="8">
        <v>3.6</v>
      </c>
      <c r="G62" s="1">
        <v>0</v>
      </c>
      <c r="H62" s="1">
        <v>1</v>
      </c>
      <c r="I62" s="1">
        <v>0</v>
      </c>
      <c r="J62" s="13">
        <f>E62*G62</f>
        <v>0</v>
      </c>
      <c r="K62" s="14">
        <f>E62-L62-J62</f>
        <v>2333</v>
      </c>
      <c r="L62" s="14">
        <f>E62*I62</f>
        <v>0</v>
      </c>
      <c r="M62" s="11">
        <f>J62*F62</f>
        <v>0</v>
      </c>
      <c r="N62" s="11">
        <f>K62*F62</f>
        <v>8398.8000000000011</v>
      </c>
      <c r="O62" s="12">
        <f>L62*F62</f>
        <v>0</v>
      </c>
      <c r="Q62" s="111" t="s">
        <v>32</v>
      </c>
      <c r="R62" s="112">
        <f t="shared" si="1"/>
        <v>1</v>
      </c>
    </row>
    <row r="63" spans="1:18" x14ac:dyDescent="0.25">
      <c r="A63" s="102">
        <f>IF(Table8[[#This Row],[in-game_name]]&lt;&gt;"",ROW(A62),"")</f>
        <v>62</v>
      </c>
      <c r="B63" s="104" t="s">
        <v>17</v>
      </c>
      <c r="C63" s="92">
        <f>_xlfn.XLOOKUP(B63,Table4[in-game_name],Table4[user_number],"User Not Found")</f>
        <v>3</v>
      </c>
      <c r="D63" s="3">
        <v>44470</v>
      </c>
      <c r="E63" s="1">
        <v>2689</v>
      </c>
      <c r="F63" s="8">
        <v>3.6</v>
      </c>
      <c r="G63" s="1">
        <v>0</v>
      </c>
      <c r="H63" s="1">
        <v>1</v>
      </c>
      <c r="I63" s="1">
        <v>0</v>
      </c>
      <c r="J63" s="13">
        <f>E63*G63</f>
        <v>0</v>
      </c>
      <c r="K63" s="14">
        <f>E63-L63-J63</f>
        <v>2689</v>
      </c>
      <c r="L63" s="14">
        <f>E63*I63</f>
        <v>0</v>
      </c>
      <c r="M63" s="11">
        <f>J63*F63</f>
        <v>0</v>
      </c>
      <c r="N63" s="11">
        <f>K63*F63</f>
        <v>9680.4</v>
      </c>
      <c r="O63" s="12">
        <f>L63*F63</f>
        <v>0</v>
      </c>
      <c r="Q63" s="111" t="s">
        <v>93</v>
      </c>
      <c r="R63" s="112">
        <f t="shared" si="1"/>
        <v>1</v>
      </c>
    </row>
    <row r="64" spans="1:18" x14ac:dyDescent="0.25">
      <c r="A64" s="102">
        <f>IF(Table8[[#This Row],[in-game_name]]&lt;&gt;"",ROW(A63),"")</f>
        <v>63</v>
      </c>
      <c r="B64" s="104" t="s">
        <v>19</v>
      </c>
      <c r="C64" s="92">
        <f>_xlfn.XLOOKUP(B64,Table4[in-game_name],Table4[user_number],"User Not Found")</f>
        <v>37</v>
      </c>
      <c r="D64" s="3">
        <v>44470</v>
      </c>
      <c r="E64" s="1">
        <v>2077</v>
      </c>
      <c r="F64" s="8">
        <v>3.2</v>
      </c>
      <c r="G64" s="1">
        <v>0.2</v>
      </c>
      <c r="H64" s="1">
        <v>0.35</v>
      </c>
      <c r="I64" s="1">
        <v>0.45000000000000007</v>
      </c>
      <c r="J64" s="13">
        <f>E64*G64</f>
        <v>415.40000000000003</v>
      </c>
      <c r="K64" s="14">
        <f>E64-L64-J64</f>
        <v>726.94999999999982</v>
      </c>
      <c r="L64" s="14">
        <f>E64*I64</f>
        <v>934.65000000000009</v>
      </c>
      <c r="M64" s="11">
        <f>J64*F64</f>
        <v>1329.2800000000002</v>
      </c>
      <c r="N64" s="11">
        <f>K64*F64</f>
        <v>2326.2399999999993</v>
      </c>
      <c r="O64" s="12">
        <f>L64*F64</f>
        <v>2990.8800000000006</v>
      </c>
      <c r="Q64" s="111" t="s">
        <v>53</v>
      </c>
      <c r="R64" s="112">
        <f t="shared" si="1"/>
        <v>1</v>
      </c>
    </row>
    <row r="65" spans="1:18" x14ac:dyDescent="0.25">
      <c r="A65" s="102">
        <f>IF(Table8[[#This Row],[in-game_name]]&lt;&gt;"",ROW(A64),"")</f>
        <v>64</v>
      </c>
      <c r="B65" s="104" t="s">
        <v>7</v>
      </c>
      <c r="C65" s="92">
        <f>_xlfn.XLOOKUP(B65,Table4[in-game_name],Table4[user_number],"User Not Found")</f>
        <v>35</v>
      </c>
      <c r="D65" s="3">
        <v>44470</v>
      </c>
      <c r="E65" s="1">
        <v>385</v>
      </c>
      <c r="F65" s="8">
        <v>3</v>
      </c>
      <c r="G65" s="1">
        <v>8.6499999999999994E-2</v>
      </c>
      <c r="H65" s="1">
        <v>0.4</v>
      </c>
      <c r="I65" s="1">
        <v>0.51349999999999996</v>
      </c>
      <c r="J65" s="13">
        <f>E65*G65</f>
        <v>33.302499999999995</v>
      </c>
      <c r="K65" s="14">
        <f>E65-L65-J65</f>
        <v>154</v>
      </c>
      <c r="L65" s="14">
        <f>E65*I65</f>
        <v>197.69749999999999</v>
      </c>
      <c r="M65" s="11">
        <f>J65*F65</f>
        <v>99.907499999999985</v>
      </c>
      <c r="N65" s="11">
        <f>K65*F65</f>
        <v>462</v>
      </c>
      <c r="O65" s="12">
        <f>L65*F65</f>
        <v>593.09249999999997</v>
      </c>
      <c r="Q65" s="111" t="s">
        <v>64</v>
      </c>
      <c r="R65" s="112">
        <f t="shared" si="1"/>
        <v>1</v>
      </c>
    </row>
    <row r="66" spans="1:18" x14ac:dyDescent="0.25">
      <c r="A66" s="102">
        <f>IF(Table8[[#This Row],[in-game_name]]&lt;&gt;"",ROW(A65),"")</f>
        <v>65</v>
      </c>
      <c r="B66" s="104" t="s">
        <v>36</v>
      </c>
      <c r="C66" s="92">
        <f>_xlfn.XLOOKUP(B66,Table4[in-game_name],Table4[user_number],"User Not Found")</f>
        <v>7</v>
      </c>
      <c r="D66" s="3">
        <v>44470</v>
      </c>
      <c r="E66" s="1">
        <v>1143</v>
      </c>
      <c r="F66" s="8">
        <v>3</v>
      </c>
      <c r="G66" s="1">
        <v>0.13650000000000001</v>
      </c>
      <c r="H66" s="1">
        <v>0.35</v>
      </c>
      <c r="I66" s="1">
        <v>0.51349999999999996</v>
      </c>
      <c r="J66" s="13">
        <f t="shared" ref="J66:J129" si="2">E66*G66</f>
        <v>156.01950000000002</v>
      </c>
      <c r="K66" s="14">
        <f>E66-L66-J66</f>
        <v>400.05000000000007</v>
      </c>
      <c r="L66" s="14">
        <f>E66*I66</f>
        <v>586.93049999999994</v>
      </c>
      <c r="M66" s="11">
        <f>J66*F66</f>
        <v>468.05850000000009</v>
      </c>
      <c r="N66" s="11">
        <f>K66*F66</f>
        <v>1200.1500000000001</v>
      </c>
      <c r="O66" s="12">
        <f>L66*F66</f>
        <v>1760.7914999999998</v>
      </c>
      <c r="Q66" s="111" t="s">
        <v>76</v>
      </c>
      <c r="R66" s="112">
        <f t="shared" si="1"/>
        <v>1</v>
      </c>
    </row>
    <row r="67" spans="1:18" x14ac:dyDescent="0.25">
      <c r="A67" s="102">
        <f>IF(Table8[[#This Row],[in-game_name]]&lt;&gt;"",ROW(A66),"")</f>
        <v>66</v>
      </c>
      <c r="B67" s="104" t="s">
        <v>46</v>
      </c>
      <c r="C67" s="92">
        <f>_xlfn.XLOOKUP(B67,Table4[in-game_name],Table4[user_number],"User Not Found")</f>
        <v>9</v>
      </c>
      <c r="D67" s="3">
        <v>44470</v>
      </c>
      <c r="E67" s="1">
        <v>2211</v>
      </c>
      <c r="F67" s="8">
        <v>3.5</v>
      </c>
      <c r="G67" s="1">
        <v>0.15</v>
      </c>
      <c r="H67" s="1">
        <v>0.35</v>
      </c>
      <c r="I67" s="1">
        <v>0.5</v>
      </c>
      <c r="J67" s="13">
        <f t="shared" si="2"/>
        <v>331.65</v>
      </c>
      <c r="K67" s="14">
        <f>E67-L67-J67</f>
        <v>773.85</v>
      </c>
      <c r="L67" s="14">
        <f>E67*I67</f>
        <v>1105.5</v>
      </c>
      <c r="M67" s="11">
        <f>J67*F67</f>
        <v>1160.7749999999999</v>
      </c>
      <c r="N67" s="11">
        <f>K67*F67</f>
        <v>2708.4749999999999</v>
      </c>
      <c r="O67" s="12">
        <f>L67*F67</f>
        <v>3869.25</v>
      </c>
      <c r="Q67" s="111" t="s">
        <v>24</v>
      </c>
      <c r="R67" s="112">
        <f t="shared" si="1"/>
        <v>1</v>
      </c>
    </row>
    <row r="68" spans="1:18" x14ac:dyDescent="0.25">
      <c r="A68" s="102">
        <f>IF(Table8[[#This Row],[in-game_name]]&lt;&gt;"",ROW(A67),"")</f>
        <v>67</v>
      </c>
      <c r="B68" s="104" t="s">
        <v>25</v>
      </c>
      <c r="C68" s="92">
        <f>_xlfn.XLOOKUP(B68,Table4[in-game_name],Table4[user_number],"User Not Found")</f>
        <v>38</v>
      </c>
      <c r="D68" s="3">
        <v>44472</v>
      </c>
      <c r="E68" s="1">
        <v>5684</v>
      </c>
      <c r="F68" s="8">
        <v>3.4</v>
      </c>
      <c r="G68" s="1">
        <v>0.15</v>
      </c>
      <c r="H68" s="1">
        <v>0.35</v>
      </c>
      <c r="I68" s="1">
        <v>0.5</v>
      </c>
      <c r="J68" s="13">
        <f t="shared" si="2"/>
        <v>852.6</v>
      </c>
      <c r="K68" s="14">
        <f>E68-L68-J68</f>
        <v>1989.4</v>
      </c>
      <c r="L68" s="14">
        <f>E68*I68</f>
        <v>2842</v>
      </c>
      <c r="M68" s="11">
        <f>J68*F68</f>
        <v>2898.84</v>
      </c>
      <c r="N68" s="11">
        <f>K68*F68</f>
        <v>6763.96</v>
      </c>
      <c r="O68" s="12">
        <f>L68*F68</f>
        <v>9662.7999999999993</v>
      </c>
      <c r="Q68" s="114" t="s">
        <v>13</v>
      </c>
      <c r="R68" s="115">
        <f t="shared" si="1"/>
        <v>1</v>
      </c>
    </row>
    <row r="69" spans="1:18" x14ac:dyDescent="0.25">
      <c r="A69" s="102">
        <f>IF(Table8[[#This Row],[in-game_name]]&lt;&gt;"",ROW(A68),"")</f>
        <v>68</v>
      </c>
      <c r="B69" s="104" t="s">
        <v>74</v>
      </c>
      <c r="C69" s="92">
        <f>_xlfn.XLOOKUP(B69,Table4[in-game_name],Table4[user_number],"User Not Found")</f>
        <v>14</v>
      </c>
      <c r="D69" s="3">
        <v>44472</v>
      </c>
      <c r="E69" s="1">
        <v>393</v>
      </c>
      <c r="F69" s="8">
        <v>3.4</v>
      </c>
      <c r="G69" s="1">
        <v>0.15</v>
      </c>
      <c r="H69" s="1">
        <v>0.35</v>
      </c>
      <c r="I69" s="1">
        <v>0.5</v>
      </c>
      <c r="J69" s="13">
        <f t="shared" si="2"/>
        <v>58.949999999999996</v>
      </c>
      <c r="K69" s="14">
        <f>E69-L69-J69</f>
        <v>137.55000000000001</v>
      </c>
      <c r="L69" s="14">
        <f>E69*I69</f>
        <v>196.5</v>
      </c>
      <c r="M69" s="11">
        <f>J69*F69</f>
        <v>200.42999999999998</v>
      </c>
      <c r="N69" s="11">
        <f>K69*F69</f>
        <v>467.67</v>
      </c>
      <c r="O69" s="12">
        <f>L69*F69</f>
        <v>668.1</v>
      </c>
    </row>
    <row r="70" spans="1:18" x14ac:dyDescent="0.25">
      <c r="A70" s="102">
        <f>IF(Table8[[#This Row],[in-game_name]]&lt;&gt;"",ROW(A69),"")</f>
        <v>69</v>
      </c>
      <c r="B70" s="104" t="s">
        <v>43</v>
      </c>
      <c r="C70" s="92">
        <f>_xlfn.XLOOKUP(B70,Table4[in-game_name],Table4[user_number],"User Not Found")</f>
        <v>42</v>
      </c>
      <c r="D70" s="3">
        <v>44474</v>
      </c>
      <c r="E70" s="1">
        <v>2178</v>
      </c>
      <c r="F70" s="8">
        <v>4</v>
      </c>
      <c r="G70" s="1">
        <v>0.08</v>
      </c>
      <c r="H70" s="1">
        <v>0.42</v>
      </c>
      <c r="I70" s="1">
        <v>0.5</v>
      </c>
      <c r="J70" s="13">
        <f t="shared" si="2"/>
        <v>174.24</v>
      </c>
      <c r="K70" s="14">
        <f>E70-L70-J70</f>
        <v>914.76</v>
      </c>
      <c r="L70" s="14">
        <f>E70*I70</f>
        <v>1089</v>
      </c>
      <c r="M70" s="11">
        <f>J70*F70</f>
        <v>696.96</v>
      </c>
      <c r="N70" s="11">
        <f>K70*F70</f>
        <v>3659.04</v>
      </c>
      <c r="O70" s="12">
        <f>L70*F70</f>
        <v>4356</v>
      </c>
    </row>
    <row r="71" spans="1:18" x14ac:dyDescent="0.25">
      <c r="A71" s="102">
        <f>IF(Table8[[#This Row],[in-game_name]]&lt;&gt;"",ROW(A70),"")</f>
        <v>70</v>
      </c>
      <c r="B71" s="104" t="s">
        <v>56</v>
      </c>
      <c r="C71" s="92">
        <f>_xlfn.XLOOKUP(B71,Table4[in-game_name],Table4[user_number],"User Not Found")</f>
        <v>28</v>
      </c>
      <c r="D71" s="3">
        <v>44475</v>
      </c>
      <c r="E71" s="1">
        <v>536</v>
      </c>
      <c r="F71" s="8">
        <v>4</v>
      </c>
      <c r="G71" s="1">
        <v>0.15</v>
      </c>
      <c r="H71" s="1">
        <v>0.35</v>
      </c>
      <c r="I71" s="1">
        <v>0.5</v>
      </c>
      <c r="J71" s="13">
        <f t="shared" si="2"/>
        <v>80.399999999999991</v>
      </c>
      <c r="K71" s="14">
        <f>E71-L71-J71</f>
        <v>187.60000000000002</v>
      </c>
      <c r="L71" s="14">
        <f>E71*I71</f>
        <v>268</v>
      </c>
      <c r="M71" s="11">
        <f>J71*F71</f>
        <v>321.59999999999997</v>
      </c>
      <c r="N71" s="11">
        <f>K71*F71</f>
        <v>750.40000000000009</v>
      </c>
      <c r="O71" s="12">
        <f>L71*F71</f>
        <v>1072</v>
      </c>
    </row>
    <row r="72" spans="1:18" x14ac:dyDescent="0.25">
      <c r="A72" s="102">
        <f>IF(Table8[[#This Row],[in-game_name]]&lt;&gt;"",ROW(A71),"")</f>
        <v>71</v>
      </c>
      <c r="B72" s="104" t="s">
        <v>74</v>
      </c>
      <c r="C72" s="92">
        <f>_xlfn.XLOOKUP(B72,Table4[in-game_name],Table4[user_number],"User Not Found")</f>
        <v>14</v>
      </c>
      <c r="D72" s="3">
        <v>44475</v>
      </c>
      <c r="E72" s="1">
        <v>1510</v>
      </c>
      <c r="F72" s="8">
        <v>4</v>
      </c>
      <c r="G72" s="1">
        <v>0.1</v>
      </c>
      <c r="H72" s="1">
        <v>0.4</v>
      </c>
      <c r="I72" s="1">
        <v>0.5</v>
      </c>
      <c r="J72" s="13">
        <f t="shared" si="2"/>
        <v>151</v>
      </c>
      <c r="K72" s="14">
        <f>E72-L72-J72</f>
        <v>604</v>
      </c>
      <c r="L72" s="14">
        <f>E72*I72</f>
        <v>755</v>
      </c>
      <c r="M72" s="11">
        <f>J72*F72</f>
        <v>604</v>
      </c>
      <c r="N72" s="11">
        <f>K72*F72</f>
        <v>2416</v>
      </c>
      <c r="O72" s="12">
        <f>L72*F72</f>
        <v>3020</v>
      </c>
    </row>
    <row r="73" spans="1:18" x14ac:dyDescent="0.25">
      <c r="A73" s="102">
        <f>IF(Table8[[#This Row],[in-game_name]]&lt;&gt;"",ROW(A72),"")</f>
        <v>72</v>
      </c>
      <c r="B73" s="104" t="s">
        <v>90</v>
      </c>
      <c r="C73" s="92">
        <f>_xlfn.XLOOKUP(B73,Table4[in-game_name],Table4[user_number],"User Not Found")</f>
        <v>16</v>
      </c>
      <c r="D73" s="3">
        <v>44479</v>
      </c>
      <c r="E73" s="1">
        <v>2455</v>
      </c>
      <c r="F73" s="8">
        <v>4.08</v>
      </c>
      <c r="G73" s="1">
        <v>0</v>
      </c>
      <c r="H73" s="1">
        <v>0.5</v>
      </c>
      <c r="I73" s="1">
        <v>0.5</v>
      </c>
      <c r="J73" s="13">
        <f t="shared" si="2"/>
        <v>0</v>
      </c>
      <c r="K73" s="14">
        <f>E73-L73-J73</f>
        <v>1227.5</v>
      </c>
      <c r="L73" s="14">
        <f>E73*I73</f>
        <v>1227.5</v>
      </c>
      <c r="M73" s="11">
        <f>J73*F73</f>
        <v>0</v>
      </c>
      <c r="N73" s="11">
        <f>K73*F73</f>
        <v>5008.2</v>
      </c>
      <c r="O73" s="12">
        <f>L73*F73</f>
        <v>5008.2</v>
      </c>
    </row>
    <row r="74" spans="1:18" x14ac:dyDescent="0.25">
      <c r="A74" s="102">
        <f>IF(Table8[[#This Row],[in-game_name]]&lt;&gt;"",ROW(A73),"")</f>
        <v>73</v>
      </c>
      <c r="B74" s="104" t="s">
        <v>38</v>
      </c>
      <c r="C74" s="92">
        <f>_xlfn.XLOOKUP(B74,Table4[in-game_name],Table4[user_number],"User Not Found")</f>
        <v>41</v>
      </c>
      <c r="D74" s="3">
        <v>44479</v>
      </c>
      <c r="E74" s="1">
        <v>2277</v>
      </c>
      <c r="F74" s="8">
        <v>4.08</v>
      </c>
      <c r="G74" s="1">
        <v>0.05</v>
      </c>
      <c r="H74" s="1">
        <v>0.35</v>
      </c>
      <c r="I74" s="1">
        <v>0.6</v>
      </c>
      <c r="J74" s="13">
        <f t="shared" si="2"/>
        <v>113.85000000000001</v>
      </c>
      <c r="K74" s="14">
        <f>E74-L74-J74</f>
        <v>796.94999999999993</v>
      </c>
      <c r="L74" s="14">
        <f>E74*I74</f>
        <v>1366.2</v>
      </c>
      <c r="M74" s="11">
        <f>J74*F74</f>
        <v>464.50800000000004</v>
      </c>
      <c r="N74" s="11">
        <f>K74*F74</f>
        <v>3251.5559999999996</v>
      </c>
      <c r="O74" s="12">
        <f>L74*F74</f>
        <v>5574.0960000000005</v>
      </c>
    </row>
    <row r="75" spans="1:18" x14ac:dyDescent="0.25">
      <c r="A75" s="102">
        <f>IF(Table8[[#This Row],[in-game_name]]&lt;&gt;"",ROW(A74),"")</f>
        <v>74</v>
      </c>
      <c r="B75" s="104" t="s">
        <v>25</v>
      </c>
      <c r="C75" s="92">
        <f>_xlfn.XLOOKUP(B75,Table4[in-game_name],Table4[user_number],"User Not Found")</f>
        <v>38</v>
      </c>
      <c r="D75" s="3">
        <v>44479</v>
      </c>
      <c r="E75" s="1">
        <v>673</v>
      </c>
      <c r="F75" s="8">
        <v>3.9</v>
      </c>
      <c r="G75" s="1">
        <v>0.05</v>
      </c>
      <c r="H75" s="1">
        <v>0.25</v>
      </c>
      <c r="I75" s="1">
        <v>0.7</v>
      </c>
      <c r="J75" s="13">
        <f t="shared" si="2"/>
        <v>33.65</v>
      </c>
      <c r="K75" s="14">
        <f>E75-L75-J75</f>
        <v>168.25000000000003</v>
      </c>
      <c r="L75" s="14">
        <f>E75*I75</f>
        <v>471.09999999999997</v>
      </c>
      <c r="M75" s="11">
        <f>J75*F75</f>
        <v>131.23499999999999</v>
      </c>
      <c r="N75" s="11">
        <f>K75*F75</f>
        <v>656.17500000000007</v>
      </c>
      <c r="O75" s="12">
        <f>L75*F75</f>
        <v>1837.2899999999997</v>
      </c>
    </row>
    <row r="76" spans="1:18" x14ac:dyDescent="0.25">
      <c r="A76" s="102">
        <f>IF(Table8[[#This Row],[in-game_name]]&lt;&gt;"",ROW(A75),"")</f>
        <v>75</v>
      </c>
      <c r="B76" s="104" t="s">
        <v>56</v>
      </c>
      <c r="C76" s="92">
        <f>_xlfn.XLOOKUP(B76,Table4[in-game_name],Table4[user_number],"User Not Found")</f>
        <v>28</v>
      </c>
      <c r="D76" s="3">
        <v>44479</v>
      </c>
      <c r="E76" s="1">
        <v>759</v>
      </c>
      <c r="F76" s="8">
        <v>3.9</v>
      </c>
      <c r="G76" s="1">
        <v>0.05</v>
      </c>
      <c r="H76" s="1">
        <v>0.35</v>
      </c>
      <c r="I76" s="1">
        <v>0.6</v>
      </c>
      <c r="J76" s="13">
        <f t="shared" si="2"/>
        <v>37.950000000000003</v>
      </c>
      <c r="K76" s="14">
        <f>E76-L76-J76</f>
        <v>265.65000000000003</v>
      </c>
      <c r="L76" s="14">
        <f>E76*I76</f>
        <v>455.4</v>
      </c>
      <c r="M76" s="11">
        <f>J76*F76</f>
        <v>148.005</v>
      </c>
      <c r="N76" s="11">
        <f>K76*F76</f>
        <v>1036.0350000000001</v>
      </c>
      <c r="O76" s="12">
        <f>L76*F76</f>
        <v>1776.06</v>
      </c>
    </row>
    <row r="77" spans="1:18" x14ac:dyDescent="0.25">
      <c r="A77" s="102">
        <f>IF(Table8[[#This Row],[in-game_name]]&lt;&gt;"",ROW(A76),"")</f>
        <v>76</v>
      </c>
      <c r="B77" s="104" t="s">
        <v>7</v>
      </c>
      <c r="C77" s="92">
        <f>_xlfn.XLOOKUP(B77,Table4[in-game_name],Table4[user_number],"User Not Found")</f>
        <v>35</v>
      </c>
      <c r="D77" s="3">
        <v>44479</v>
      </c>
      <c r="E77" s="1">
        <v>1259</v>
      </c>
      <c r="F77" s="8">
        <v>4</v>
      </c>
      <c r="G77" s="1">
        <v>0.05</v>
      </c>
      <c r="H77" s="1">
        <v>0.45</v>
      </c>
      <c r="I77" s="1">
        <v>0.49999999999999994</v>
      </c>
      <c r="J77" s="13">
        <f t="shared" si="2"/>
        <v>62.95</v>
      </c>
      <c r="K77" s="14">
        <f>E77-L77-J77</f>
        <v>566.55000000000007</v>
      </c>
      <c r="L77" s="14">
        <f>E77*I77</f>
        <v>629.49999999999989</v>
      </c>
      <c r="M77" s="11">
        <f>J77*F77</f>
        <v>251.8</v>
      </c>
      <c r="N77" s="11">
        <f>K77*F77</f>
        <v>2266.2000000000003</v>
      </c>
      <c r="O77" s="12">
        <f>L77*F77</f>
        <v>2517.9999999999995</v>
      </c>
    </row>
    <row r="78" spans="1:18" x14ac:dyDescent="0.25">
      <c r="A78" s="102">
        <f>IF(Table8[[#This Row],[in-game_name]]&lt;&gt;"",ROW(A77),"")</f>
        <v>77</v>
      </c>
      <c r="B78" s="104" t="s">
        <v>28</v>
      </c>
      <c r="C78" s="92">
        <f>_xlfn.XLOOKUP(B78,Table4[in-game_name],Table4[user_number],"User Not Found")</f>
        <v>22</v>
      </c>
      <c r="D78" s="3">
        <v>44479</v>
      </c>
      <c r="E78" s="1">
        <v>1508</v>
      </c>
      <c r="F78" s="8">
        <v>3.9</v>
      </c>
      <c r="G78" s="1">
        <v>0.05</v>
      </c>
      <c r="H78" s="1">
        <v>0.35</v>
      </c>
      <c r="I78" s="1">
        <v>0.6</v>
      </c>
      <c r="J78" s="13">
        <f t="shared" si="2"/>
        <v>75.400000000000006</v>
      </c>
      <c r="K78" s="14">
        <f>E78-L78-J78</f>
        <v>527.80000000000007</v>
      </c>
      <c r="L78" s="14">
        <f>E78*I78</f>
        <v>904.8</v>
      </c>
      <c r="M78" s="11">
        <f>J78*F78</f>
        <v>294.06</v>
      </c>
      <c r="N78" s="11">
        <f>K78*F78</f>
        <v>2058.42</v>
      </c>
      <c r="O78" s="12">
        <f>L78*F78</f>
        <v>3528.72</v>
      </c>
    </row>
    <row r="79" spans="1:18" x14ac:dyDescent="0.25">
      <c r="A79" s="102">
        <f>IF(Table8[[#This Row],[in-game_name]]&lt;&gt;"",ROW(A78),"")</f>
        <v>78</v>
      </c>
      <c r="B79" s="104" t="s">
        <v>71</v>
      </c>
      <c r="C79" s="92">
        <f>_xlfn.XLOOKUP(B79,Table4[in-game_name],Table4[user_number],"User Not Found")</f>
        <v>30</v>
      </c>
      <c r="D79" s="3">
        <v>44479</v>
      </c>
      <c r="E79" s="1">
        <v>2390</v>
      </c>
      <c r="F79" s="8">
        <v>3.9</v>
      </c>
      <c r="G79" s="1">
        <v>0.05</v>
      </c>
      <c r="H79" s="1">
        <v>0.35</v>
      </c>
      <c r="I79" s="1">
        <v>0.6</v>
      </c>
      <c r="J79" s="13">
        <f t="shared" si="2"/>
        <v>119.5</v>
      </c>
      <c r="K79" s="14">
        <f>E79-L79-J79</f>
        <v>836.5</v>
      </c>
      <c r="L79" s="14">
        <f>E79*I79</f>
        <v>1434</v>
      </c>
      <c r="M79" s="11">
        <f>J79*F79</f>
        <v>466.05</v>
      </c>
      <c r="N79" s="11">
        <f>K79*F79</f>
        <v>3262.35</v>
      </c>
      <c r="O79" s="12">
        <f>L79*F79</f>
        <v>5592.5999999999995</v>
      </c>
    </row>
    <row r="80" spans="1:18" x14ac:dyDescent="0.25">
      <c r="A80" s="102">
        <f>IF(Table8[[#This Row],[in-game_name]]&lt;&gt;"",ROW(A79),"")</f>
        <v>79</v>
      </c>
      <c r="B80" s="104" t="s">
        <v>91</v>
      </c>
      <c r="C80" s="92">
        <f>_xlfn.XLOOKUP(B80,Table4[in-game_name],Table4[user_number],"User Not Found")</f>
        <v>33</v>
      </c>
      <c r="D80" s="3">
        <v>44479</v>
      </c>
      <c r="E80" s="1">
        <v>1887</v>
      </c>
      <c r="F80" s="8">
        <v>4</v>
      </c>
      <c r="G80" s="1">
        <v>0.05</v>
      </c>
      <c r="H80" s="1">
        <v>0.35</v>
      </c>
      <c r="I80" s="1">
        <v>0.6</v>
      </c>
      <c r="J80" s="13">
        <f t="shared" si="2"/>
        <v>94.350000000000009</v>
      </c>
      <c r="K80" s="14">
        <f>E80-L80-J80</f>
        <v>660.44999999999993</v>
      </c>
      <c r="L80" s="14">
        <f>E80*I80</f>
        <v>1132.2</v>
      </c>
      <c r="M80" s="11">
        <f>J80*F80</f>
        <v>377.40000000000003</v>
      </c>
      <c r="N80" s="11">
        <f>K80*F80</f>
        <v>2641.7999999999997</v>
      </c>
      <c r="O80" s="12">
        <f>L80*F80</f>
        <v>4528.8</v>
      </c>
    </row>
    <row r="81" spans="1:15" x14ac:dyDescent="0.25">
      <c r="A81" s="102">
        <f>IF(Table8[[#This Row],[in-game_name]]&lt;&gt;"",ROW(A80),"")</f>
        <v>80</v>
      </c>
      <c r="B81" s="104" t="s">
        <v>47</v>
      </c>
      <c r="C81" s="92">
        <f>_xlfn.XLOOKUP(B81,Table4[in-game_name],Table4[user_number],"User Not Found")</f>
        <v>26</v>
      </c>
      <c r="D81" s="3">
        <v>44479</v>
      </c>
      <c r="E81" s="1">
        <v>2590</v>
      </c>
      <c r="F81" s="8">
        <v>4</v>
      </c>
      <c r="G81" s="1">
        <v>0.05</v>
      </c>
      <c r="H81" s="1">
        <v>0.35</v>
      </c>
      <c r="I81" s="1">
        <v>0.6</v>
      </c>
      <c r="J81" s="13">
        <f t="shared" si="2"/>
        <v>129.5</v>
      </c>
      <c r="K81" s="14">
        <f>E81-L81-J81</f>
        <v>906.5</v>
      </c>
      <c r="L81" s="14">
        <f>E81*I81</f>
        <v>1554</v>
      </c>
      <c r="M81" s="11">
        <f>J81*F81</f>
        <v>518</v>
      </c>
      <c r="N81" s="11">
        <f>K81*F81</f>
        <v>3626</v>
      </c>
      <c r="O81" s="12">
        <f>L81*F81</f>
        <v>6216</v>
      </c>
    </row>
    <row r="82" spans="1:15" x14ac:dyDescent="0.25">
      <c r="A82" s="102">
        <f>IF(Table8[[#This Row],[in-game_name]]&lt;&gt;"",ROW(A81),"")</f>
        <v>81</v>
      </c>
      <c r="B82" s="104" t="s">
        <v>29</v>
      </c>
      <c r="C82" s="92">
        <f>_xlfn.XLOOKUP(B82,Table4[in-game_name],Table4[user_number],"User Not Found")</f>
        <v>39</v>
      </c>
      <c r="D82" s="3">
        <v>44479</v>
      </c>
      <c r="E82" s="1">
        <v>1635</v>
      </c>
      <c r="F82" s="8">
        <v>4</v>
      </c>
      <c r="G82" s="1">
        <v>0.05</v>
      </c>
      <c r="H82" s="1">
        <v>0.25</v>
      </c>
      <c r="I82" s="1">
        <v>0.7</v>
      </c>
      <c r="J82" s="13">
        <f t="shared" si="2"/>
        <v>81.75</v>
      </c>
      <c r="K82" s="14">
        <f>E82-L82-J82</f>
        <v>408.75</v>
      </c>
      <c r="L82" s="14">
        <f>E82*I82</f>
        <v>1144.5</v>
      </c>
      <c r="M82" s="11">
        <f>J82*F82</f>
        <v>327</v>
      </c>
      <c r="N82" s="11">
        <f>K82*F82</f>
        <v>1635</v>
      </c>
      <c r="O82" s="12">
        <f>L82*F82</f>
        <v>4578</v>
      </c>
    </row>
    <row r="83" spans="1:15" x14ac:dyDescent="0.25">
      <c r="A83" s="102">
        <f>IF(Table8[[#This Row],[in-game_name]]&lt;&gt;"",ROW(A82),"")</f>
        <v>82</v>
      </c>
      <c r="B83" s="104" t="s">
        <v>72</v>
      </c>
      <c r="C83" s="92">
        <f>_xlfn.XLOOKUP(B83,Table4[in-game_name],Table4[user_number],"User Not Found")</f>
        <v>47</v>
      </c>
      <c r="D83" s="3">
        <v>44479</v>
      </c>
      <c r="E83" s="1">
        <v>1701</v>
      </c>
      <c r="F83" s="8">
        <v>4</v>
      </c>
      <c r="G83" s="1">
        <v>0.05</v>
      </c>
      <c r="H83" s="1">
        <v>0.35</v>
      </c>
      <c r="I83" s="1">
        <v>0.6</v>
      </c>
      <c r="J83" s="13">
        <f t="shared" si="2"/>
        <v>85.050000000000011</v>
      </c>
      <c r="K83" s="14">
        <f>E83-L83-J83</f>
        <v>595.35000000000014</v>
      </c>
      <c r="L83" s="14">
        <f>E83*I83</f>
        <v>1020.5999999999999</v>
      </c>
      <c r="M83" s="11">
        <f>J83*F83</f>
        <v>340.20000000000005</v>
      </c>
      <c r="N83" s="11">
        <f>K83*F83</f>
        <v>2381.4000000000005</v>
      </c>
      <c r="O83" s="12">
        <f>L83*F83</f>
        <v>4082.3999999999996</v>
      </c>
    </row>
    <row r="84" spans="1:15" x14ac:dyDescent="0.25">
      <c r="A84" s="102">
        <f>IF(Table8[[#This Row],[in-game_name]]&lt;&gt;"",ROW(A83),"")</f>
        <v>83</v>
      </c>
      <c r="B84" s="104" t="s">
        <v>72</v>
      </c>
      <c r="C84" s="92">
        <f>_xlfn.XLOOKUP(B84,Table4[in-game_name],Table4[user_number],"User Not Found")</f>
        <v>47</v>
      </c>
      <c r="D84" s="3">
        <v>44479</v>
      </c>
      <c r="E84" s="1">
        <v>286</v>
      </c>
      <c r="F84" s="8">
        <v>4</v>
      </c>
      <c r="G84" s="1">
        <v>0.1</v>
      </c>
      <c r="H84" s="1">
        <v>0.4</v>
      </c>
      <c r="I84" s="1">
        <v>0.5</v>
      </c>
      <c r="J84" s="13">
        <f t="shared" si="2"/>
        <v>28.6</v>
      </c>
      <c r="K84" s="14">
        <f>E84-L84-J84</f>
        <v>114.4</v>
      </c>
      <c r="L84" s="14">
        <f>E84*I84</f>
        <v>143</v>
      </c>
      <c r="M84" s="11">
        <f>J84*F84</f>
        <v>114.4</v>
      </c>
      <c r="N84" s="11">
        <f>K84*F84</f>
        <v>457.6</v>
      </c>
      <c r="O84" s="12">
        <f>L84*F84</f>
        <v>572</v>
      </c>
    </row>
    <row r="85" spans="1:15" x14ac:dyDescent="0.25">
      <c r="A85" s="102">
        <f>IF(Table8[[#This Row],[in-game_name]]&lt;&gt;"",ROW(A84),"")</f>
        <v>84</v>
      </c>
      <c r="B85" s="104" t="s">
        <v>92</v>
      </c>
      <c r="C85" s="92">
        <f>_xlfn.XLOOKUP(B85,Table4[in-game_name],Table4[user_number],"User Not Found")</f>
        <v>17</v>
      </c>
      <c r="D85" s="3">
        <v>44479</v>
      </c>
      <c r="E85" s="1">
        <v>1851</v>
      </c>
      <c r="F85" s="8">
        <v>3.9</v>
      </c>
      <c r="G85" s="1">
        <v>0.05</v>
      </c>
      <c r="H85" s="1">
        <v>0.35</v>
      </c>
      <c r="I85" s="1">
        <v>0.6</v>
      </c>
      <c r="J85" s="13">
        <f t="shared" si="2"/>
        <v>92.550000000000011</v>
      </c>
      <c r="K85" s="14">
        <f>E85-L85-J85</f>
        <v>647.85000000000014</v>
      </c>
      <c r="L85" s="14">
        <f>E85*I85</f>
        <v>1110.5999999999999</v>
      </c>
      <c r="M85" s="11">
        <f>J85*F85</f>
        <v>360.94500000000005</v>
      </c>
      <c r="N85" s="11">
        <f>K85*F85</f>
        <v>2526.6150000000007</v>
      </c>
      <c r="O85" s="12">
        <f>L85*F85</f>
        <v>4331.3399999999992</v>
      </c>
    </row>
    <row r="86" spans="1:15" x14ac:dyDescent="0.25">
      <c r="A86" s="102">
        <f>IF(Table8[[#This Row],[in-game_name]]&lt;&gt;"",ROW(A85),"")</f>
        <v>85</v>
      </c>
      <c r="B86" s="104" t="s">
        <v>80</v>
      </c>
      <c r="C86" s="92">
        <f>_xlfn.XLOOKUP(B86,Table4[in-game_name],Table4[user_number],"User Not Found")</f>
        <v>49</v>
      </c>
      <c r="D86" s="3">
        <v>44479</v>
      </c>
      <c r="E86" s="1">
        <v>1798</v>
      </c>
      <c r="F86" s="8">
        <v>3.3</v>
      </c>
      <c r="G86" s="1">
        <v>0.05</v>
      </c>
      <c r="H86" s="1">
        <v>0.35</v>
      </c>
      <c r="I86" s="1">
        <v>0.6</v>
      </c>
      <c r="J86" s="13">
        <f t="shared" si="2"/>
        <v>89.9</v>
      </c>
      <c r="K86" s="14">
        <f>E86-L86-J86</f>
        <v>629.30000000000007</v>
      </c>
      <c r="L86" s="14">
        <f>E86*I86</f>
        <v>1078.8</v>
      </c>
      <c r="M86" s="11">
        <f>J86*F86</f>
        <v>296.67</v>
      </c>
      <c r="N86" s="11">
        <f>K86*F86</f>
        <v>2076.69</v>
      </c>
      <c r="O86" s="12">
        <f>L86*F86</f>
        <v>3560.0399999999995</v>
      </c>
    </row>
    <row r="87" spans="1:15" x14ac:dyDescent="0.25">
      <c r="A87" s="102">
        <f>IF(Table8[[#This Row],[in-game_name]]&lt;&gt;"",ROW(A86),"")</f>
        <v>86</v>
      </c>
      <c r="B87" s="104" t="s">
        <v>57</v>
      </c>
      <c r="C87" s="92">
        <f>_xlfn.XLOOKUP(B87,Table4[in-game_name],Table4[user_number],"User Not Found")</f>
        <v>45</v>
      </c>
      <c r="D87" s="3">
        <v>44479</v>
      </c>
      <c r="E87" s="1">
        <v>240</v>
      </c>
      <c r="F87" s="8">
        <v>3.9</v>
      </c>
      <c r="G87" s="1">
        <v>0.05</v>
      </c>
      <c r="H87" s="1">
        <v>0.25</v>
      </c>
      <c r="I87" s="1">
        <v>0.7</v>
      </c>
      <c r="J87" s="13">
        <f t="shared" si="2"/>
        <v>12</v>
      </c>
      <c r="K87" s="14">
        <f>E87-L87-J87</f>
        <v>60</v>
      </c>
      <c r="L87" s="14">
        <f>E87*I87</f>
        <v>168</v>
      </c>
      <c r="M87" s="11">
        <f>J87*F87</f>
        <v>46.8</v>
      </c>
      <c r="N87" s="11">
        <f>K87*F87</f>
        <v>234</v>
      </c>
      <c r="O87" s="12">
        <f>L87*F87</f>
        <v>655.19999999999993</v>
      </c>
    </row>
    <row r="88" spans="1:15" x14ac:dyDescent="0.25">
      <c r="A88" s="102">
        <f>IF(Table8[[#This Row],[in-game_name]]&lt;&gt;"",ROW(A87),"")</f>
        <v>87</v>
      </c>
      <c r="B88" s="105" t="s">
        <v>13</v>
      </c>
      <c r="C88" s="92">
        <f>_xlfn.XLOOKUP(B88,Table4[in-game_name],Table4[user_number],"User Not Found")</f>
        <v>36</v>
      </c>
      <c r="D88" s="3">
        <v>44481</v>
      </c>
      <c r="E88" s="1">
        <v>750</v>
      </c>
      <c r="F88" s="8">
        <v>3.63</v>
      </c>
      <c r="G88" s="1">
        <v>0.15</v>
      </c>
      <c r="H88" s="1">
        <v>0.35</v>
      </c>
      <c r="I88" s="1">
        <v>0.5</v>
      </c>
      <c r="J88" s="13">
        <f t="shared" si="2"/>
        <v>112.5</v>
      </c>
      <c r="K88" s="14">
        <f>E88-L88-J88</f>
        <v>262.5</v>
      </c>
      <c r="L88" s="14">
        <f>E88*I88</f>
        <v>375</v>
      </c>
      <c r="M88" s="11">
        <f>J88*F88</f>
        <v>408.375</v>
      </c>
      <c r="N88" s="11">
        <f>K88*F88</f>
        <v>952.875</v>
      </c>
      <c r="O88" s="12">
        <f>L88*F88</f>
        <v>1361.25</v>
      </c>
    </row>
    <row r="89" spans="1:15" x14ac:dyDescent="0.25">
      <c r="A89" s="102">
        <f>IF(Table8[[#This Row],[in-game_name]]&lt;&gt;"",ROW(A88),"")</f>
        <v>88</v>
      </c>
      <c r="B89" s="105" t="s">
        <v>48</v>
      </c>
      <c r="C89" s="92">
        <f>_xlfn.XLOOKUP(B89,Table4[in-game_name],Table4[user_number],"User Not Found")</f>
        <v>43</v>
      </c>
      <c r="D89" s="3">
        <v>44483</v>
      </c>
      <c r="E89" s="1">
        <v>1906</v>
      </c>
      <c r="F89" s="8">
        <v>3.5</v>
      </c>
      <c r="G89" s="1">
        <v>0.15</v>
      </c>
      <c r="H89" s="1">
        <v>0.35</v>
      </c>
      <c r="I89" s="1">
        <v>0.5</v>
      </c>
      <c r="J89" s="13">
        <f t="shared" si="2"/>
        <v>285.89999999999998</v>
      </c>
      <c r="K89" s="14">
        <f>E89-L89-J89</f>
        <v>667.1</v>
      </c>
      <c r="L89" s="14">
        <f>E89*I89</f>
        <v>953</v>
      </c>
      <c r="M89" s="11">
        <f>J89*F89</f>
        <v>1000.6499999999999</v>
      </c>
      <c r="N89" s="11">
        <f>K89*F89</f>
        <v>2334.85</v>
      </c>
      <c r="O89" s="12">
        <f>L89*F89</f>
        <v>3335.5</v>
      </c>
    </row>
    <row r="90" spans="1:15" x14ac:dyDescent="0.25">
      <c r="A90" s="102">
        <f>IF(Table8[[#This Row],[in-game_name]]&lt;&gt;"",ROW(A89),"")</f>
        <v>89</v>
      </c>
      <c r="B90" s="105" t="s">
        <v>17</v>
      </c>
      <c r="C90" s="92">
        <f>_xlfn.XLOOKUP(B90,Table4[in-game_name],Table4[user_number],"User Not Found")</f>
        <v>3</v>
      </c>
      <c r="D90" s="3">
        <v>44484</v>
      </c>
      <c r="E90" s="1">
        <v>3131</v>
      </c>
      <c r="F90" s="8">
        <v>3.4</v>
      </c>
      <c r="G90" s="1">
        <v>0</v>
      </c>
      <c r="H90" s="1">
        <v>1</v>
      </c>
      <c r="I90" s="1">
        <v>0</v>
      </c>
      <c r="J90" s="13">
        <f t="shared" si="2"/>
        <v>0</v>
      </c>
      <c r="K90" s="14">
        <f>E90-L90-J90</f>
        <v>3131</v>
      </c>
      <c r="L90" s="14">
        <f>E90*I90</f>
        <v>0</v>
      </c>
      <c r="M90" s="11">
        <f>J90*F90</f>
        <v>0</v>
      </c>
      <c r="N90" s="11">
        <f>K90*F90</f>
        <v>10645.4</v>
      </c>
      <c r="O90" s="12">
        <f>L90*F90</f>
        <v>0</v>
      </c>
    </row>
    <row r="91" spans="1:15" x14ac:dyDescent="0.25">
      <c r="A91" s="102">
        <f>IF(Table8[[#This Row],[in-game_name]]&lt;&gt;"",ROW(A90),"")</f>
        <v>90</v>
      </c>
      <c r="B91" s="105" t="s">
        <v>19</v>
      </c>
      <c r="C91" s="92">
        <f>_xlfn.XLOOKUP(B91,Table4[in-game_name],Table4[user_number],"User Not Found")</f>
        <v>37</v>
      </c>
      <c r="D91" s="3">
        <v>44485</v>
      </c>
      <c r="E91" s="1">
        <v>2328</v>
      </c>
      <c r="F91" s="8">
        <v>3.6</v>
      </c>
      <c r="G91" s="1">
        <v>0.2</v>
      </c>
      <c r="H91" s="1">
        <v>0.35</v>
      </c>
      <c r="I91" s="1">
        <v>0.45000000000000007</v>
      </c>
      <c r="J91" s="13">
        <f t="shared" si="2"/>
        <v>465.6</v>
      </c>
      <c r="K91" s="14">
        <f>E91-L91-J91</f>
        <v>814.79999999999984</v>
      </c>
      <c r="L91" s="14">
        <f>E91*I91</f>
        <v>1047.6000000000001</v>
      </c>
      <c r="M91" s="11">
        <f>J91*F91</f>
        <v>1676.16</v>
      </c>
      <c r="N91" s="11">
        <f>K91*F91</f>
        <v>2933.2799999999993</v>
      </c>
      <c r="O91" s="12">
        <f>L91*F91</f>
        <v>3771.3600000000006</v>
      </c>
    </row>
    <row r="92" spans="1:15" x14ac:dyDescent="0.25">
      <c r="A92" s="102">
        <f>IF(Table8[[#This Row],[in-game_name]]&lt;&gt;"",ROW(A91),"")</f>
        <v>91</v>
      </c>
      <c r="B92" s="105" t="s">
        <v>41</v>
      </c>
      <c r="C92" s="92">
        <f>_xlfn.XLOOKUP(B92,Table4[in-game_name],Table4[user_number],"User Not Found")</f>
        <v>8</v>
      </c>
      <c r="D92" s="3">
        <v>44485</v>
      </c>
      <c r="E92" s="1">
        <v>2434</v>
      </c>
      <c r="F92" s="8">
        <v>3.6</v>
      </c>
      <c r="G92" s="1">
        <v>0.1</v>
      </c>
      <c r="H92" s="1">
        <v>0.4</v>
      </c>
      <c r="I92" s="1">
        <v>0.5</v>
      </c>
      <c r="J92" s="13">
        <f t="shared" si="2"/>
        <v>243.4</v>
      </c>
      <c r="K92" s="14">
        <f>E92-L92-J92</f>
        <v>973.6</v>
      </c>
      <c r="L92" s="14">
        <f>E92*I92</f>
        <v>1217</v>
      </c>
      <c r="M92" s="11">
        <f>J92*F92</f>
        <v>876.24</v>
      </c>
      <c r="N92" s="11">
        <f>K92*F92</f>
        <v>3504.96</v>
      </c>
      <c r="O92" s="12">
        <f>L92*F92</f>
        <v>4381.2</v>
      </c>
    </row>
    <row r="93" spans="1:15" x14ac:dyDescent="0.25">
      <c r="A93" s="102">
        <f>IF(Table8[[#This Row],[in-game_name]]&lt;&gt;"",ROW(A92),"")</f>
        <v>92</v>
      </c>
      <c r="B93" s="105" t="s">
        <v>36</v>
      </c>
      <c r="C93" s="92">
        <f>_xlfn.XLOOKUP(B93,Table4[in-game_name],Table4[user_number],"User Not Found")</f>
        <v>7</v>
      </c>
      <c r="D93" s="3">
        <v>44485</v>
      </c>
      <c r="E93" s="1">
        <v>2634</v>
      </c>
      <c r="F93" s="8">
        <v>3.6</v>
      </c>
      <c r="G93" s="1">
        <v>0.127</v>
      </c>
      <c r="H93" s="1">
        <v>0.35</v>
      </c>
      <c r="I93" s="1">
        <v>0.52300000000000002</v>
      </c>
      <c r="J93" s="13">
        <f t="shared" si="2"/>
        <v>334.51800000000003</v>
      </c>
      <c r="K93" s="14">
        <f>E93-L93-J93</f>
        <v>921.89999999999986</v>
      </c>
      <c r="L93" s="14">
        <f>E93*I93</f>
        <v>1377.5820000000001</v>
      </c>
      <c r="M93" s="11">
        <f>J93*F93</f>
        <v>1204.2648000000002</v>
      </c>
      <c r="N93" s="11">
        <f>K93*F93</f>
        <v>3318.8399999999997</v>
      </c>
      <c r="O93" s="12">
        <f>L93*F93</f>
        <v>4959.2952000000005</v>
      </c>
    </row>
    <row r="94" spans="1:15" x14ac:dyDescent="0.25">
      <c r="A94" s="102">
        <f>IF(Table8[[#This Row],[in-game_name]]&lt;&gt;"",ROW(A93),"")</f>
        <v>93</v>
      </c>
      <c r="B94" s="105" t="s">
        <v>46</v>
      </c>
      <c r="C94" s="92">
        <f>_xlfn.XLOOKUP(B94,Table4[in-game_name],Table4[user_number],"User Not Found")</f>
        <v>9</v>
      </c>
      <c r="D94" s="3">
        <v>44485</v>
      </c>
      <c r="E94" s="1">
        <v>2276</v>
      </c>
      <c r="F94" s="8">
        <v>3.6</v>
      </c>
      <c r="G94" s="1">
        <v>0.15</v>
      </c>
      <c r="H94" s="1">
        <v>0.35</v>
      </c>
      <c r="I94" s="1">
        <v>0.5</v>
      </c>
      <c r="J94" s="13">
        <f t="shared" si="2"/>
        <v>341.4</v>
      </c>
      <c r="K94" s="14">
        <f>E94-L94-J94</f>
        <v>796.6</v>
      </c>
      <c r="L94" s="14">
        <f>E94*I94</f>
        <v>1138</v>
      </c>
      <c r="M94" s="11">
        <f>J94*F94</f>
        <v>1229.04</v>
      </c>
      <c r="N94" s="11">
        <f>K94*F94</f>
        <v>2867.76</v>
      </c>
      <c r="O94" s="12">
        <f>L94*F94</f>
        <v>4096.8</v>
      </c>
    </row>
    <row r="95" spans="1:15" x14ac:dyDescent="0.25">
      <c r="A95" s="102">
        <f>IF(Table8[[#This Row],[in-game_name]]&lt;&gt;"",ROW(A94),"")</f>
        <v>94</v>
      </c>
      <c r="B95" s="105" t="s">
        <v>5</v>
      </c>
      <c r="C95" s="92">
        <f>_xlfn.XLOOKUP(B95,Table4[in-game_name],Table4[user_number],"User Not Found")</f>
        <v>1</v>
      </c>
      <c r="D95" s="3">
        <v>44486</v>
      </c>
      <c r="E95" s="1">
        <v>3984</v>
      </c>
      <c r="F95" s="8">
        <v>3.6</v>
      </c>
      <c r="G95" s="1">
        <v>0</v>
      </c>
      <c r="H95" s="1">
        <v>1</v>
      </c>
      <c r="I95" s="1">
        <v>0</v>
      </c>
      <c r="J95" s="13">
        <f t="shared" si="2"/>
        <v>0</v>
      </c>
      <c r="K95" s="14">
        <f>E95-L95-J95</f>
        <v>3984</v>
      </c>
      <c r="L95" s="14">
        <f>E95*I95</f>
        <v>0</v>
      </c>
      <c r="M95" s="11">
        <f>J95*F95</f>
        <v>0</v>
      </c>
      <c r="N95" s="11">
        <f>K95*F95</f>
        <v>14342.4</v>
      </c>
      <c r="O95" s="12">
        <f>L95*F95</f>
        <v>0</v>
      </c>
    </row>
    <row r="96" spans="1:15" x14ac:dyDescent="0.25">
      <c r="A96" s="102">
        <f>IF(Table8[[#This Row],[in-game_name]]&lt;&gt;"",ROW(A95),"")</f>
        <v>95</v>
      </c>
      <c r="B96" s="105" t="s">
        <v>43</v>
      </c>
      <c r="C96" s="92">
        <f>_xlfn.XLOOKUP(B96,Table4[in-game_name],Table4[user_number],"User Not Found")</f>
        <v>42</v>
      </c>
      <c r="D96" s="3">
        <v>44489</v>
      </c>
      <c r="E96" s="1">
        <v>3161</v>
      </c>
      <c r="F96" s="8">
        <v>3.3</v>
      </c>
      <c r="G96" s="1">
        <v>0.08</v>
      </c>
      <c r="H96" s="1">
        <v>0.42</v>
      </c>
      <c r="I96" s="1">
        <v>0.5</v>
      </c>
      <c r="J96" s="13">
        <f t="shared" si="2"/>
        <v>252.88</v>
      </c>
      <c r="K96" s="14">
        <f>E96-L96-J96</f>
        <v>1327.62</v>
      </c>
      <c r="L96" s="14">
        <f>E96*I96</f>
        <v>1580.5</v>
      </c>
      <c r="M96" s="11">
        <f>J96*F96</f>
        <v>834.50399999999991</v>
      </c>
      <c r="N96" s="11">
        <f>K96*F96</f>
        <v>4381.1459999999997</v>
      </c>
      <c r="O96" s="12">
        <f>L96*F96</f>
        <v>5215.6499999999996</v>
      </c>
    </row>
    <row r="97" spans="1:15" x14ac:dyDescent="0.25">
      <c r="A97" s="102">
        <f>IF(Table8[[#This Row],[in-game_name]]&lt;&gt;"",ROW(A96),"")</f>
        <v>96</v>
      </c>
      <c r="B97" s="105" t="s">
        <v>56</v>
      </c>
      <c r="C97" s="92">
        <f>_xlfn.XLOOKUP(B97,Table4[in-game_name],Table4[user_number],"User Not Found")</f>
        <v>28</v>
      </c>
      <c r="D97" s="3">
        <v>44489</v>
      </c>
      <c r="E97" s="1">
        <v>2321</v>
      </c>
      <c r="F97" s="8">
        <v>3.3</v>
      </c>
      <c r="G97" s="1">
        <v>0.25</v>
      </c>
      <c r="H97" s="1">
        <v>0.35</v>
      </c>
      <c r="I97" s="1">
        <v>0.4</v>
      </c>
      <c r="J97" s="13">
        <f t="shared" si="2"/>
        <v>580.25</v>
      </c>
      <c r="K97" s="14">
        <f>E97-L97-J97</f>
        <v>812.34999999999991</v>
      </c>
      <c r="L97" s="14">
        <f>E97*I97</f>
        <v>928.40000000000009</v>
      </c>
      <c r="M97" s="11">
        <f>J97*F97</f>
        <v>1914.8249999999998</v>
      </c>
      <c r="N97" s="11">
        <f>K97*F97</f>
        <v>2680.7549999999997</v>
      </c>
      <c r="O97" s="12">
        <f>L97*F97</f>
        <v>3063.7200000000003</v>
      </c>
    </row>
    <row r="98" spans="1:15" x14ac:dyDescent="0.25">
      <c r="A98" s="102">
        <f>IF(Table8[[#This Row],[in-game_name]]&lt;&gt;"",ROW(A97),"")</f>
        <v>97</v>
      </c>
      <c r="B98" s="105" t="s">
        <v>90</v>
      </c>
      <c r="C98" s="92">
        <f>_xlfn.XLOOKUP(B98,Table4[in-game_name],Table4[user_number],"User Not Found")</f>
        <v>16</v>
      </c>
      <c r="D98" s="3">
        <v>44493</v>
      </c>
      <c r="E98" s="1">
        <v>3064</v>
      </c>
      <c r="F98" s="8">
        <v>3.5</v>
      </c>
      <c r="G98" s="1">
        <v>0</v>
      </c>
      <c r="H98" s="1">
        <v>0.5</v>
      </c>
      <c r="I98" s="1">
        <v>0.5</v>
      </c>
      <c r="J98" s="13">
        <f t="shared" si="2"/>
        <v>0</v>
      </c>
      <c r="K98" s="14">
        <f>E98-L98-J98</f>
        <v>1532</v>
      </c>
      <c r="L98" s="14">
        <f>E98*I98</f>
        <v>1532</v>
      </c>
      <c r="M98" s="11">
        <f>J98*F98</f>
        <v>0</v>
      </c>
      <c r="N98" s="11">
        <f>K98*F98</f>
        <v>5362</v>
      </c>
      <c r="O98" s="12">
        <f>L98*F98</f>
        <v>5362</v>
      </c>
    </row>
    <row r="99" spans="1:15" x14ac:dyDescent="0.25">
      <c r="A99" s="102">
        <f>IF(Table8[[#This Row],[in-game_name]]&lt;&gt;"",ROW(A98),"")</f>
        <v>98</v>
      </c>
      <c r="B99" s="105" t="s">
        <v>38</v>
      </c>
      <c r="C99" s="92">
        <f>_xlfn.XLOOKUP(B99,Table4[in-game_name],Table4[user_number],"User Not Found")</f>
        <v>41</v>
      </c>
      <c r="D99" s="3">
        <v>44493</v>
      </c>
      <c r="E99" s="1">
        <v>2061</v>
      </c>
      <c r="F99" s="8">
        <v>3.3</v>
      </c>
      <c r="G99" s="1">
        <v>0.05</v>
      </c>
      <c r="H99" s="1">
        <v>0.35</v>
      </c>
      <c r="I99" s="1">
        <v>0.6</v>
      </c>
      <c r="J99" s="13">
        <f t="shared" si="2"/>
        <v>103.05000000000001</v>
      </c>
      <c r="K99" s="14">
        <f>E99-L99-J99</f>
        <v>721.35000000000014</v>
      </c>
      <c r="L99" s="14">
        <f>E99*I99</f>
        <v>1236.5999999999999</v>
      </c>
      <c r="M99" s="11">
        <f>J99*F99</f>
        <v>340.065</v>
      </c>
      <c r="N99" s="11">
        <f>K99*F99</f>
        <v>2380.4550000000004</v>
      </c>
      <c r="O99" s="12">
        <f>L99*F99</f>
        <v>4080.7799999999993</v>
      </c>
    </row>
    <row r="100" spans="1:15" x14ac:dyDescent="0.25">
      <c r="A100" s="102">
        <f>IF(Table8[[#This Row],[in-game_name]]&lt;&gt;"",ROW(A99),"")</f>
        <v>99</v>
      </c>
      <c r="B100" s="105" t="s">
        <v>71</v>
      </c>
      <c r="C100" s="92">
        <f>_xlfn.XLOOKUP(B100,Table4[in-game_name],Table4[user_number],"User Not Found")</f>
        <v>30</v>
      </c>
      <c r="D100" s="3">
        <v>44493</v>
      </c>
      <c r="E100" s="1">
        <v>3383</v>
      </c>
      <c r="F100" s="8">
        <v>3.3</v>
      </c>
      <c r="G100" s="1">
        <v>0.05</v>
      </c>
      <c r="H100" s="1">
        <v>0.35</v>
      </c>
      <c r="I100" s="1">
        <v>0.6</v>
      </c>
      <c r="J100" s="13">
        <f t="shared" si="2"/>
        <v>169.15</v>
      </c>
      <c r="K100" s="14">
        <f>E100-L100-J100</f>
        <v>1184.05</v>
      </c>
      <c r="L100" s="14">
        <f>E100*I100</f>
        <v>2029.8</v>
      </c>
      <c r="M100" s="11">
        <f>J100*F100</f>
        <v>558.19499999999994</v>
      </c>
      <c r="N100" s="11">
        <f>K100*F100</f>
        <v>3907.3649999999998</v>
      </c>
      <c r="O100" s="12">
        <f>L100*F100</f>
        <v>6698.3399999999992</v>
      </c>
    </row>
    <row r="101" spans="1:15" x14ac:dyDescent="0.25">
      <c r="A101" s="102">
        <f>IF(Table8[[#This Row],[in-game_name]]&lt;&gt;"",ROW(A100),"")</f>
        <v>100</v>
      </c>
      <c r="B101" s="105" t="s">
        <v>91</v>
      </c>
      <c r="C101" s="92">
        <f>_xlfn.XLOOKUP(B101,Table4[in-game_name],Table4[user_number],"User Not Found")</f>
        <v>33</v>
      </c>
      <c r="D101" s="3">
        <v>44493</v>
      </c>
      <c r="E101" s="1">
        <v>1984</v>
      </c>
      <c r="F101" s="8">
        <v>3.3</v>
      </c>
      <c r="G101" s="1">
        <v>0.05</v>
      </c>
      <c r="H101" s="1">
        <v>0.35</v>
      </c>
      <c r="I101" s="1">
        <v>0.6</v>
      </c>
      <c r="J101" s="13">
        <f t="shared" si="2"/>
        <v>99.2</v>
      </c>
      <c r="K101" s="14">
        <f>E101-L101-J101</f>
        <v>694.40000000000009</v>
      </c>
      <c r="L101" s="14">
        <f>E101*I101</f>
        <v>1190.3999999999999</v>
      </c>
      <c r="M101" s="11">
        <f>J101*F101</f>
        <v>327.36</v>
      </c>
      <c r="N101" s="11">
        <f>K101*F101</f>
        <v>2291.52</v>
      </c>
      <c r="O101" s="12">
        <f>L101*F101</f>
        <v>3928.3199999999993</v>
      </c>
    </row>
    <row r="102" spans="1:15" x14ac:dyDescent="0.25">
      <c r="A102" s="102">
        <f>IF(Table8[[#This Row],[in-game_name]]&lt;&gt;"",ROW(A101),"")</f>
        <v>101</v>
      </c>
      <c r="B102" s="105" t="s">
        <v>47</v>
      </c>
      <c r="C102" s="92">
        <f>_xlfn.XLOOKUP(B102,Table4[in-game_name],Table4[user_number],"User Not Found")</f>
        <v>26</v>
      </c>
      <c r="D102" s="3">
        <v>44493</v>
      </c>
      <c r="E102" s="1">
        <v>1780</v>
      </c>
      <c r="F102" s="8">
        <v>3.3</v>
      </c>
      <c r="G102" s="1">
        <v>0.05</v>
      </c>
      <c r="H102" s="1">
        <v>0.35</v>
      </c>
      <c r="I102" s="1">
        <v>0.6</v>
      </c>
      <c r="J102" s="13">
        <f t="shared" si="2"/>
        <v>89</v>
      </c>
      <c r="K102" s="14">
        <f>E102-L102-J102</f>
        <v>623</v>
      </c>
      <c r="L102" s="14">
        <f>E102*I102</f>
        <v>1068</v>
      </c>
      <c r="M102" s="11">
        <f>J102*F102</f>
        <v>293.7</v>
      </c>
      <c r="N102" s="11">
        <f>K102*F102</f>
        <v>2055.9</v>
      </c>
      <c r="O102" s="12">
        <f>L102*F102</f>
        <v>3524.3999999999996</v>
      </c>
    </row>
    <row r="103" spans="1:15" x14ac:dyDescent="0.25">
      <c r="A103" s="102">
        <f>IF(Table8[[#This Row],[in-game_name]]&lt;&gt;"",ROW(A102),"")</f>
        <v>102</v>
      </c>
      <c r="B103" s="105" t="s">
        <v>29</v>
      </c>
      <c r="C103" s="92">
        <f>_xlfn.XLOOKUP(B103,Table4[in-game_name],Table4[user_number],"User Not Found")</f>
        <v>39</v>
      </c>
      <c r="D103" s="3">
        <v>44493</v>
      </c>
      <c r="E103" s="1">
        <v>1877</v>
      </c>
      <c r="F103" s="8">
        <v>3.3</v>
      </c>
      <c r="G103" s="1">
        <v>0.05</v>
      </c>
      <c r="H103" s="1">
        <v>0.35</v>
      </c>
      <c r="I103" s="1">
        <v>0.6</v>
      </c>
      <c r="J103" s="13">
        <f t="shared" si="2"/>
        <v>93.850000000000009</v>
      </c>
      <c r="K103" s="14">
        <f>E103-L103-J103</f>
        <v>656.94999999999993</v>
      </c>
      <c r="L103" s="14">
        <f>E103*I103</f>
        <v>1126.2</v>
      </c>
      <c r="M103" s="11">
        <f>J103*F103</f>
        <v>309.70499999999998</v>
      </c>
      <c r="N103" s="11">
        <f>K103*F103</f>
        <v>2167.9349999999995</v>
      </c>
      <c r="O103" s="12">
        <f>L103*F103</f>
        <v>3716.46</v>
      </c>
    </row>
    <row r="104" spans="1:15" x14ac:dyDescent="0.25">
      <c r="A104" s="102">
        <f>IF(Table8[[#This Row],[in-game_name]]&lt;&gt;"",ROW(A103),"")</f>
        <v>103</v>
      </c>
      <c r="B104" s="105" t="s">
        <v>72</v>
      </c>
      <c r="C104" s="92">
        <f>_xlfn.XLOOKUP(B104,Table4[in-game_name],Table4[user_number],"User Not Found")</f>
        <v>47</v>
      </c>
      <c r="D104" s="3">
        <v>44493</v>
      </c>
      <c r="E104" s="1">
        <v>1469</v>
      </c>
      <c r="F104" s="8">
        <v>3.3</v>
      </c>
      <c r="G104" s="1">
        <v>0.05</v>
      </c>
      <c r="H104" s="1">
        <v>0.35</v>
      </c>
      <c r="I104" s="1">
        <v>0.6</v>
      </c>
      <c r="J104" s="13">
        <f t="shared" si="2"/>
        <v>73.45</v>
      </c>
      <c r="K104" s="14">
        <f>E104-L104-J104</f>
        <v>514.15</v>
      </c>
      <c r="L104" s="14">
        <f>E104*I104</f>
        <v>881.4</v>
      </c>
      <c r="M104" s="11">
        <f>J104*F104</f>
        <v>242.38499999999999</v>
      </c>
      <c r="N104" s="11">
        <f>K104*F104</f>
        <v>1696.6949999999999</v>
      </c>
      <c r="O104" s="12">
        <f>L104*F104</f>
        <v>2908.62</v>
      </c>
    </row>
    <row r="105" spans="1:15" x14ac:dyDescent="0.25">
      <c r="A105" s="102">
        <f>IF(Table8[[#This Row],[in-game_name]]&lt;&gt;"",ROW(A104),"")</f>
        <v>104</v>
      </c>
      <c r="B105" s="105" t="s">
        <v>92</v>
      </c>
      <c r="C105" s="92">
        <f>_xlfn.XLOOKUP(B105,Table4[in-game_name],Table4[user_number],"User Not Found")</f>
        <v>17</v>
      </c>
      <c r="D105" s="3">
        <v>44493</v>
      </c>
      <c r="E105" s="1">
        <v>1459</v>
      </c>
      <c r="F105" s="8">
        <v>3.3</v>
      </c>
      <c r="G105" s="1">
        <v>0.05</v>
      </c>
      <c r="H105" s="1">
        <v>0.25</v>
      </c>
      <c r="I105" s="1">
        <v>0.7</v>
      </c>
      <c r="J105" s="13">
        <f t="shared" si="2"/>
        <v>72.95</v>
      </c>
      <c r="K105" s="14">
        <f>E105-L105-J105</f>
        <v>364.75000000000006</v>
      </c>
      <c r="L105" s="14">
        <f>E105*I105</f>
        <v>1021.3</v>
      </c>
      <c r="M105" s="11">
        <f>J105*F105</f>
        <v>240.73499999999999</v>
      </c>
      <c r="N105" s="11">
        <f>K105*F105</f>
        <v>1203.6750000000002</v>
      </c>
      <c r="O105" s="12">
        <f>L105*F105</f>
        <v>3370.2899999999995</v>
      </c>
    </row>
    <row r="106" spans="1:15" x14ac:dyDescent="0.25">
      <c r="A106" s="102">
        <f>IF(Table8[[#This Row],[in-game_name]]&lt;&gt;"",ROW(A105),"")</f>
        <v>105</v>
      </c>
      <c r="B106" s="105" t="s">
        <v>28</v>
      </c>
      <c r="C106" s="92">
        <f>_xlfn.XLOOKUP(B106,Table4[in-game_name],Table4[user_number],"User Not Found")</f>
        <v>22</v>
      </c>
      <c r="D106" s="3">
        <v>44494</v>
      </c>
      <c r="E106" s="1">
        <v>2385</v>
      </c>
      <c r="F106" s="8">
        <v>3.3</v>
      </c>
      <c r="G106" s="1">
        <v>0.05</v>
      </c>
      <c r="H106" s="1">
        <v>0.35</v>
      </c>
      <c r="I106" s="1">
        <v>0.6</v>
      </c>
      <c r="J106" s="13">
        <f t="shared" si="2"/>
        <v>119.25</v>
      </c>
      <c r="K106" s="14">
        <f>E106-L106-J106</f>
        <v>834.75</v>
      </c>
      <c r="L106" s="14">
        <f>E106*I106</f>
        <v>1431</v>
      </c>
      <c r="M106" s="11">
        <f>J106*F106</f>
        <v>393.52499999999998</v>
      </c>
      <c r="N106" s="11">
        <f>K106*F106</f>
        <v>2754.6749999999997</v>
      </c>
      <c r="O106" s="12">
        <f>L106*F106</f>
        <v>4722.3</v>
      </c>
    </row>
    <row r="107" spans="1:15" x14ac:dyDescent="0.25">
      <c r="A107" s="102">
        <f>IF(Table8[[#This Row],[in-game_name]]&lt;&gt;"",ROW(A106),"")</f>
        <v>106</v>
      </c>
      <c r="B107" s="105" t="s">
        <v>80</v>
      </c>
      <c r="C107" s="92">
        <f>_xlfn.XLOOKUP(B107,Table4[in-game_name],Table4[user_number],"User Not Found")</f>
        <v>49</v>
      </c>
      <c r="D107" s="3">
        <v>44494</v>
      </c>
      <c r="E107" s="1">
        <v>1902</v>
      </c>
      <c r="F107" s="8">
        <v>3.3</v>
      </c>
      <c r="G107" s="1">
        <v>0.05</v>
      </c>
      <c r="H107" s="1">
        <v>0.35</v>
      </c>
      <c r="I107" s="1">
        <v>0.6</v>
      </c>
      <c r="J107" s="13">
        <f t="shared" si="2"/>
        <v>95.100000000000009</v>
      </c>
      <c r="K107" s="14">
        <f>E107-L107-J107</f>
        <v>665.69999999999993</v>
      </c>
      <c r="L107" s="14">
        <f>E107*I107</f>
        <v>1141.2</v>
      </c>
      <c r="M107" s="11">
        <f>J107*F107</f>
        <v>313.83</v>
      </c>
      <c r="N107" s="11">
        <f>K107*F107</f>
        <v>2196.8099999999995</v>
      </c>
      <c r="O107" s="12">
        <f>L107*F107</f>
        <v>3765.96</v>
      </c>
    </row>
    <row r="108" spans="1:15" x14ac:dyDescent="0.25">
      <c r="A108" s="102">
        <f>IF(Table8[[#This Row],[in-game_name]]&lt;&gt;"",ROW(A107),"")</f>
        <v>107</v>
      </c>
      <c r="B108" s="105" t="s">
        <v>11</v>
      </c>
      <c r="C108" s="92">
        <f>_xlfn.XLOOKUP(B108,Table4[in-game_name],Table4[user_number],"User Not Found")</f>
        <v>2</v>
      </c>
      <c r="D108" s="3">
        <v>44497</v>
      </c>
      <c r="E108" s="1">
        <v>3486</v>
      </c>
      <c r="F108" s="8">
        <v>3.2</v>
      </c>
      <c r="G108" s="1">
        <v>0</v>
      </c>
      <c r="H108" s="1">
        <v>1</v>
      </c>
      <c r="I108" s="1">
        <v>0</v>
      </c>
      <c r="J108" s="13">
        <f t="shared" si="2"/>
        <v>0</v>
      </c>
      <c r="K108" s="14">
        <f>E108-L108-J108</f>
        <v>3486</v>
      </c>
      <c r="L108" s="14">
        <f>E108*I108</f>
        <v>0</v>
      </c>
      <c r="M108" s="11">
        <f>J108*F108</f>
        <v>0</v>
      </c>
      <c r="N108" s="11">
        <f>K108*F108</f>
        <v>11155.2</v>
      </c>
      <c r="O108" s="12">
        <f>L108*F108</f>
        <v>0</v>
      </c>
    </row>
    <row r="109" spans="1:15" x14ac:dyDescent="0.25">
      <c r="A109" s="102">
        <f>IF(Table8[[#This Row],[in-game_name]]&lt;&gt;"",ROW(A108),"")</f>
        <v>108</v>
      </c>
      <c r="B109" s="105" t="s">
        <v>7</v>
      </c>
      <c r="C109" s="92">
        <f>_xlfn.XLOOKUP(B109,Table4[in-game_name],Table4[user_number],"User Not Found")</f>
        <v>35</v>
      </c>
      <c r="D109" s="3">
        <v>44497</v>
      </c>
      <c r="E109" s="1">
        <v>1481</v>
      </c>
      <c r="F109" s="8">
        <v>3.2</v>
      </c>
      <c r="G109" s="1">
        <v>0.05</v>
      </c>
      <c r="H109" s="1">
        <v>0.45</v>
      </c>
      <c r="I109" s="1">
        <v>0.49999999999999994</v>
      </c>
      <c r="J109" s="13">
        <f t="shared" si="2"/>
        <v>74.05</v>
      </c>
      <c r="K109" s="14">
        <f>E109-L109-J109</f>
        <v>666.45000000000016</v>
      </c>
      <c r="L109" s="14">
        <f>E109*I109</f>
        <v>740.49999999999989</v>
      </c>
      <c r="M109" s="11">
        <f>J109*F109</f>
        <v>236.96</v>
      </c>
      <c r="N109" s="11">
        <f>K109*F109</f>
        <v>2132.6400000000008</v>
      </c>
      <c r="O109" s="12">
        <f>L109*F109</f>
        <v>2369.6</v>
      </c>
    </row>
    <row r="110" spans="1:15" x14ac:dyDescent="0.25">
      <c r="A110" s="102">
        <f>IF(Table8[[#This Row],[in-game_name]]&lt;&gt;"",ROW(A109),"")</f>
        <v>109</v>
      </c>
      <c r="B110" s="105" t="s">
        <v>48</v>
      </c>
      <c r="C110" s="92">
        <f>_xlfn.XLOOKUP(B110,Table4[in-game_name],Table4[user_number],"User Not Found")</f>
        <v>43</v>
      </c>
      <c r="D110" s="3">
        <v>44497</v>
      </c>
      <c r="E110" s="1">
        <v>1625</v>
      </c>
      <c r="F110" s="8">
        <v>3.1</v>
      </c>
      <c r="G110" s="1">
        <v>0.05</v>
      </c>
      <c r="H110" s="1">
        <v>0.35</v>
      </c>
      <c r="I110" s="1">
        <v>0.6</v>
      </c>
      <c r="J110" s="13">
        <f t="shared" si="2"/>
        <v>81.25</v>
      </c>
      <c r="K110" s="14">
        <f>E110-L110-J110</f>
        <v>568.75</v>
      </c>
      <c r="L110" s="14">
        <f>E110*I110</f>
        <v>975</v>
      </c>
      <c r="M110" s="11">
        <f>J110*F110</f>
        <v>251.875</v>
      </c>
      <c r="N110" s="11">
        <f>K110*F110</f>
        <v>1763.125</v>
      </c>
      <c r="O110" s="12">
        <f>L110*F110</f>
        <v>3022.5</v>
      </c>
    </row>
    <row r="111" spans="1:15" x14ac:dyDescent="0.25">
      <c r="A111" s="102">
        <f>IF(Table8[[#This Row],[in-game_name]]&lt;&gt;"",ROW(A110),"")</f>
        <v>110</v>
      </c>
      <c r="B111" s="105" t="s">
        <v>5</v>
      </c>
      <c r="C111" s="92">
        <f>_xlfn.XLOOKUP(B111,Table4[in-game_name],Table4[user_number],"User Not Found")</f>
        <v>1</v>
      </c>
      <c r="D111" s="3">
        <v>44500</v>
      </c>
      <c r="E111" s="1">
        <v>3998</v>
      </c>
      <c r="F111" s="8">
        <v>3.8</v>
      </c>
      <c r="G111" s="1">
        <v>0</v>
      </c>
      <c r="H111" s="1">
        <v>1</v>
      </c>
      <c r="I111" s="1">
        <v>0</v>
      </c>
      <c r="J111" s="13">
        <f t="shared" si="2"/>
        <v>0</v>
      </c>
      <c r="K111" s="14">
        <f>E111-L111-J111</f>
        <v>3998</v>
      </c>
      <c r="L111" s="14">
        <f>E111*I111</f>
        <v>0</v>
      </c>
      <c r="M111" s="11">
        <f>J111*F111</f>
        <v>0</v>
      </c>
      <c r="N111" s="11">
        <f>K111*F111</f>
        <v>15192.4</v>
      </c>
      <c r="O111" s="12">
        <f>L111*F111</f>
        <v>0</v>
      </c>
    </row>
    <row r="112" spans="1:15" x14ac:dyDescent="0.25">
      <c r="A112" s="102">
        <f>IF(Table8[[#This Row],[in-game_name]]&lt;&gt;"",ROW(A111),"")</f>
        <v>111</v>
      </c>
      <c r="B112" s="105" t="s">
        <v>17</v>
      </c>
      <c r="C112" s="92">
        <f>_xlfn.XLOOKUP(B112,Table4[in-game_name],Table4[user_number],"User Not Found")</f>
        <v>3</v>
      </c>
      <c r="D112" s="3">
        <v>44500</v>
      </c>
      <c r="E112" s="1">
        <v>3399</v>
      </c>
      <c r="F112" s="8">
        <v>3.4</v>
      </c>
      <c r="G112" s="1">
        <v>0</v>
      </c>
      <c r="H112" s="1">
        <v>1</v>
      </c>
      <c r="I112" s="1">
        <v>0</v>
      </c>
      <c r="J112" s="13">
        <f t="shared" si="2"/>
        <v>0</v>
      </c>
      <c r="K112" s="14">
        <f>E112-L112-J112</f>
        <v>3399</v>
      </c>
      <c r="L112" s="14">
        <f>E112*I112</f>
        <v>0</v>
      </c>
      <c r="M112" s="11">
        <f>J112*F112</f>
        <v>0</v>
      </c>
      <c r="N112" s="11">
        <f>K112*F112</f>
        <v>11556.6</v>
      </c>
      <c r="O112" s="12">
        <f>L112*F112</f>
        <v>0</v>
      </c>
    </row>
    <row r="113" spans="1:15" x14ac:dyDescent="0.25">
      <c r="A113" s="102">
        <f>IF(Table8[[#This Row],[in-game_name]]&lt;&gt;"",ROW(A112),"")</f>
        <v>112</v>
      </c>
      <c r="B113" s="105" t="s">
        <v>19</v>
      </c>
      <c r="C113" s="92">
        <f>_xlfn.XLOOKUP(B113,Table4[in-game_name],Table4[user_number],"User Not Found")</f>
        <v>37</v>
      </c>
      <c r="D113" s="3">
        <v>44500</v>
      </c>
      <c r="E113" s="1">
        <v>1971</v>
      </c>
      <c r="F113" s="8">
        <v>4</v>
      </c>
      <c r="G113" s="1">
        <v>0.2</v>
      </c>
      <c r="H113" s="1">
        <v>0.35</v>
      </c>
      <c r="I113" s="1">
        <v>0.45000000000000007</v>
      </c>
      <c r="J113" s="13">
        <f t="shared" si="2"/>
        <v>394.20000000000005</v>
      </c>
      <c r="K113" s="14">
        <f>E113-L113-J113</f>
        <v>689.84999999999968</v>
      </c>
      <c r="L113" s="14">
        <f>E113*I113</f>
        <v>886.95000000000016</v>
      </c>
      <c r="M113" s="11">
        <f>J113*F113</f>
        <v>1576.8000000000002</v>
      </c>
      <c r="N113" s="11">
        <f>K113*F113</f>
        <v>2759.3999999999987</v>
      </c>
      <c r="O113" s="12">
        <f>L113*F113</f>
        <v>3547.8000000000006</v>
      </c>
    </row>
    <row r="114" spans="1:15" x14ac:dyDescent="0.25">
      <c r="A114" s="102">
        <f>IF(Table8[[#This Row],[in-game_name]]&lt;&gt;"",ROW(A113),"")</f>
        <v>113</v>
      </c>
      <c r="B114" s="105" t="s">
        <v>41</v>
      </c>
      <c r="C114" s="92">
        <f>_xlfn.XLOOKUP(B114,Table4[in-game_name],Table4[user_number],"User Not Found")</f>
        <v>8</v>
      </c>
      <c r="D114" s="3">
        <v>44500</v>
      </c>
      <c r="E114" s="1">
        <v>2433</v>
      </c>
      <c r="F114" s="8">
        <v>4</v>
      </c>
      <c r="G114" s="1">
        <v>0.1</v>
      </c>
      <c r="H114" s="1">
        <v>0.4</v>
      </c>
      <c r="I114" s="1">
        <v>0.5</v>
      </c>
      <c r="J114" s="13">
        <f t="shared" si="2"/>
        <v>243.3</v>
      </c>
      <c r="K114" s="14">
        <f>E114-L114-J114</f>
        <v>973.2</v>
      </c>
      <c r="L114" s="14">
        <f>E114*I114</f>
        <v>1216.5</v>
      </c>
      <c r="M114" s="11">
        <f>J114*F114</f>
        <v>973.2</v>
      </c>
      <c r="N114" s="11">
        <f>K114*F114</f>
        <v>3892.8</v>
      </c>
      <c r="O114" s="12">
        <f>L114*F114</f>
        <v>4866</v>
      </c>
    </row>
    <row r="115" spans="1:15" x14ac:dyDescent="0.25">
      <c r="A115" s="102">
        <f>IF(Table8[[#This Row],[in-game_name]]&lt;&gt;"",ROW(A114),"")</f>
        <v>114</v>
      </c>
      <c r="B115" s="105" t="s">
        <v>36</v>
      </c>
      <c r="C115" s="92">
        <f>_xlfn.XLOOKUP(B115,Table4[in-game_name],Table4[user_number],"User Not Found")</f>
        <v>7</v>
      </c>
      <c r="D115" s="3">
        <v>44500</v>
      </c>
      <c r="E115" s="1">
        <v>2460</v>
      </c>
      <c r="F115" s="8">
        <v>4</v>
      </c>
      <c r="G115" s="1">
        <v>0.1</v>
      </c>
      <c r="H115" s="1">
        <v>0.4</v>
      </c>
      <c r="I115" s="1">
        <v>0.5</v>
      </c>
      <c r="J115" s="13">
        <f t="shared" si="2"/>
        <v>246</v>
      </c>
      <c r="K115" s="14">
        <f>E115-L115-J115</f>
        <v>984</v>
      </c>
      <c r="L115" s="14">
        <f>E115*I115</f>
        <v>1230</v>
      </c>
      <c r="M115" s="11">
        <f>J115*F115</f>
        <v>984</v>
      </c>
      <c r="N115" s="11">
        <f>K115*F115</f>
        <v>3936</v>
      </c>
      <c r="O115" s="12">
        <f>L115*F115</f>
        <v>4920</v>
      </c>
    </row>
    <row r="116" spans="1:15" x14ac:dyDescent="0.25">
      <c r="A116" s="102">
        <f>IF(Table8[[#This Row],[in-game_name]]&lt;&gt;"",ROW(A115),"")</f>
        <v>115</v>
      </c>
      <c r="B116" s="105" t="s">
        <v>46</v>
      </c>
      <c r="C116" s="92">
        <f>_xlfn.XLOOKUP(B116,Table4[in-game_name],Table4[user_number],"User Not Found")</f>
        <v>9</v>
      </c>
      <c r="D116" s="3">
        <v>44500</v>
      </c>
      <c r="E116" s="1">
        <v>2209</v>
      </c>
      <c r="F116" s="8">
        <v>3.7</v>
      </c>
      <c r="G116" s="1">
        <v>0.15</v>
      </c>
      <c r="H116" s="1">
        <v>0.35</v>
      </c>
      <c r="I116" s="1">
        <v>0.5</v>
      </c>
      <c r="J116" s="13">
        <f t="shared" si="2"/>
        <v>331.34999999999997</v>
      </c>
      <c r="K116" s="14">
        <f>E116-L116-J116</f>
        <v>773.15000000000009</v>
      </c>
      <c r="L116" s="14">
        <f>E116*I116</f>
        <v>1104.5</v>
      </c>
      <c r="M116" s="11">
        <f>J116*F116</f>
        <v>1225.9949999999999</v>
      </c>
      <c r="N116" s="11">
        <f>K116*F116</f>
        <v>2860.6550000000007</v>
      </c>
      <c r="O116" s="12">
        <f>L116*F116</f>
        <v>4086.65</v>
      </c>
    </row>
    <row r="117" spans="1:15" x14ac:dyDescent="0.25">
      <c r="A117" s="102">
        <f>IF(Table8[[#This Row],[in-game_name]]&lt;&gt;"",ROW(A116),"")</f>
        <v>116</v>
      </c>
      <c r="B117" s="105" t="s">
        <v>43</v>
      </c>
      <c r="C117" s="92">
        <f>_xlfn.XLOOKUP(B117,Table4[in-game_name],Table4[user_number],"User Not Found")</f>
        <v>42</v>
      </c>
      <c r="D117" s="3">
        <v>44502</v>
      </c>
      <c r="E117" s="1">
        <v>3008</v>
      </c>
      <c r="F117" s="8">
        <v>3.54</v>
      </c>
      <c r="G117" s="1">
        <v>0.08</v>
      </c>
      <c r="H117" s="1">
        <v>0.42</v>
      </c>
      <c r="I117" s="1">
        <v>0.5</v>
      </c>
      <c r="J117" s="13">
        <f t="shared" si="2"/>
        <v>240.64000000000001</v>
      </c>
      <c r="K117" s="14">
        <f>E117-L117-J117</f>
        <v>1263.3599999999999</v>
      </c>
      <c r="L117" s="14">
        <f>E117*I117</f>
        <v>1504</v>
      </c>
      <c r="M117" s="11">
        <f>J117*F117</f>
        <v>851.86560000000009</v>
      </c>
      <c r="N117" s="11">
        <f>K117*F117</f>
        <v>4472.2943999999998</v>
      </c>
      <c r="O117" s="12">
        <f>L117*F117</f>
        <v>5324.16</v>
      </c>
    </row>
    <row r="118" spans="1:15" x14ac:dyDescent="0.25">
      <c r="A118" s="102">
        <f>IF(Table8[[#This Row],[in-game_name]]&lt;&gt;"",ROW(A117),"")</f>
        <v>117</v>
      </c>
      <c r="B118" s="105" t="s">
        <v>56</v>
      </c>
      <c r="C118" s="92">
        <f>_xlfn.XLOOKUP(B118,Table4[in-game_name],Table4[user_number],"User Not Found")</f>
        <v>28</v>
      </c>
      <c r="D118" s="3">
        <v>44503</v>
      </c>
      <c r="E118" s="1">
        <v>2517</v>
      </c>
      <c r="F118" s="8">
        <v>3.47</v>
      </c>
      <c r="G118" s="1">
        <v>0.25</v>
      </c>
      <c r="H118" s="1">
        <v>0.35</v>
      </c>
      <c r="I118" s="1">
        <v>0.4</v>
      </c>
      <c r="J118" s="13">
        <f t="shared" si="2"/>
        <v>629.25</v>
      </c>
      <c r="K118" s="14">
        <f>E118-L118-J118</f>
        <v>880.94999999999982</v>
      </c>
      <c r="L118" s="14">
        <f>E118*I118</f>
        <v>1006.8000000000001</v>
      </c>
      <c r="M118" s="11">
        <f>J118*F118</f>
        <v>2183.4974999999999</v>
      </c>
      <c r="N118" s="11">
        <f>K118*F118</f>
        <v>3056.8964999999994</v>
      </c>
      <c r="O118" s="12">
        <f>L118*F118</f>
        <v>3493.5960000000005</v>
      </c>
    </row>
    <row r="119" spans="1:15" x14ac:dyDescent="0.25">
      <c r="A119" s="102">
        <f>IF(Table8[[#This Row],[in-game_name]]&lt;&gt;"",ROW(A118),"")</f>
        <v>118</v>
      </c>
      <c r="B119" s="105" t="s">
        <v>90</v>
      </c>
      <c r="C119" s="92">
        <f>_xlfn.XLOOKUP(B119,Table4[in-game_name],Table4[user_number],"User Not Found")</f>
        <v>16</v>
      </c>
      <c r="D119" s="3">
        <v>44507</v>
      </c>
      <c r="E119" s="1">
        <v>2566</v>
      </c>
      <c r="F119" s="8">
        <v>4.2</v>
      </c>
      <c r="G119" s="1">
        <v>0</v>
      </c>
      <c r="H119" s="1">
        <v>0.5</v>
      </c>
      <c r="I119" s="1">
        <v>0.5</v>
      </c>
      <c r="J119" s="13">
        <f t="shared" si="2"/>
        <v>0</v>
      </c>
      <c r="K119" s="14">
        <f>E119-L119-J119</f>
        <v>1283</v>
      </c>
      <c r="L119" s="14">
        <f>E119*I119</f>
        <v>1283</v>
      </c>
      <c r="M119" s="11">
        <f>J119*F119</f>
        <v>0</v>
      </c>
      <c r="N119" s="11">
        <f>K119*F119</f>
        <v>5388.6</v>
      </c>
      <c r="O119" s="12">
        <f>L119*F119</f>
        <v>5388.6</v>
      </c>
    </row>
    <row r="120" spans="1:15" x14ac:dyDescent="0.25">
      <c r="A120" s="102">
        <f>IF(Table8[[#This Row],[in-game_name]]&lt;&gt;"",ROW(A119),"")</f>
        <v>119</v>
      </c>
      <c r="B120" s="105" t="s">
        <v>38</v>
      </c>
      <c r="C120" s="92">
        <f>_xlfn.XLOOKUP(B120,Table4[in-game_name],Table4[user_number],"User Not Found")</f>
        <v>41</v>
      </c>
      <c r="D120" s="3">
        <v>44507</v>
      </c>
      <c r="E120" s="1">
        <v>2806</v>
      </c>
      <c r="F120" s="8">
        <v>4.2</v>
      </c>
      <c r="G120" s="1">
        <v>0.05</v>
      </c>
      <c r="H120" s="1">
        <v>0.35</v>
      </c>
      <c r="I120" s="1">
        <v>0.6</v>
      </c>
      <c r="J120" s="13">
        <f t="shared" si="2"/>
        <v>140.30000000000001</v>
      </c>
      <c r="K120" s="14">
        <f>E120-L120-J120</f>
        <v>982.10000000000014</v>
      </c>
      <c r="L120" s="14">
        <f>E120*I120</f>
        <v>1683.6</v>
      </c>
      <c r="M120" s="11">
        <f>J120*F120</f>
        <v>589.2600000000001</v>
      </c>
      <c r="N120" s="11">
        <f>K120*F120</f>
        <v>4124.8200000000006</v>
      </c>
      <c r="O120" s="12">
        <f>L120*F120</f>
        <v>7071.12</v>
      </c>
    </row>
    <row r="121" spans="1:15" x14ac:dyDescent="0.25">
      <c r="A121" s="102">
        <f>IF(Table8[[#This Row],[in-game_name]]&lt;&gt;"",ROW(A120),"")</f>
        <v>120</v>
      </c>
      <c r="B121" s="105" t="s">
        <v>28</v>
      </c>
      <c r="C121" s="92">
        <f>_xlfn.XLOOKUP(B121,Table4[in-game_name],Table4[user_number],"User Not Found")</f>
        <v>22</v>
      </c>
      <c r="D121" s="3">
        <v>44507</v>
      </c>
      <c r="E121" s="1">
        <v>2287</v>
      </c>
      <c r="F121" s="8">
        <v>4.2</v>
      </c>
      <c r="G121" s="1">
        <v>0.05</v>
      </c>
      <c r="H121" s="1">
        <v>0.35</v>
      </c>
      <c r="I121" s="1">
        <v>0.6</v>
      </c>
      <c r="J121" s="13">
        <f t="shared" si="2"/>
        <v>114.35000000000001</v>
      </c>
      <c r="K121" s="14">
        <f>E121-L121-J121</f>
        <v>800.44999999999993</v>
      </c>
      <c r="L121" s="14">
        <f>E121*I121</f>
        <v>1372.2</v>
      </c>
      <c r="M121" s="11">
        <f>J121*F121</f>
        <v>480.27000000000004</v>
      </c>
      <c r="N121" s="11">
        <f>K121*F121</f>
        <v>3361.89</v>
      </c>
      <c r="O121" s="12">
        <f>L121*F121</f>
        <v>5763.2400000000007</v>
      </c>
    </row>
    <row r="122" spans="1:15" x14ac:dyDescent="0.25">
      <c r="A122" s="102">
        <f>IF(Table8[[#This Row],[in-game_name]]&lt;&gt;"",ROW(A121),"")</f>
        <v>121</v>
      </c>
      <c r="B122" s="105" t="s">
        <v>71</v>
      </c>
      <c r="C122" s="92">
        <f>_xlfn.XLOOKUP(B122,Table4[in-game_name],Table4[user_number],"User Not Found")</f>
        <v>30</v>
      </c>
      <c r="D122" s="3">
        <v>44507</v>
      </c>
      <c r="E122" s="1">
        <v>2364</v>
      </c>
      <c r="F122" s="8">
        <v>4</v>
      </c>
      <c r="G122" s="1">
        <v>0.05</v>
      </c>
      <c r="H122" s="1">
        <v>0.35</v>
      </c>
      <c r="I122" s="1">
        <v>0.6</v>
      </c>
      <c r="J122" s="13">
        <f t="shared" si="2"/>
        <v>118.2</v>
      </c>
      <c r="K122" s="14">
        <f>E122-L122-J122</f>
        <v>827.40000000000009</v>
      </c>
      <c r="L122" s="14">
        <f>E122*I122</f>
        <v>1418.3999999999999</v>
      </c>
      <c r="M122" s="11">
        <f>J122*F122</f>
        <v>472.8</v>
      </c>
      <c r="N122" s="11">
        <f>K122*F122</f>
        <v>3309.6000000000004</v>
      </c>
      <c r="O122" s="12">
        <f>L122*F122</f>
        <v>5673.5999999999995</v>
      </c>
    </row>
    <row r="123" spans="1:15" x14ac:dyDescent="0.25">
      <c r="A123" s="102">
        <f>IF(Table8[[#This Row],[in-game_name]]&lt;&gt;"",ROW(A122),"")</f>
        <v>122</v>
      </c>
      <c r="B123" s="105" t="s">
        <v>91</v>
      </c>
      <c r="C123" s="92">
        <f>_xlfn.XLOOKUP(B123,Table4[in-game_name],Table4[user_number],"User Not Found")</f>
        <v>33</v>
      </c>
      <c r="D123" s="3">
        <v>44507</v>
      </c>
      <c r="E123" s="1">
        <v>2315</v>
      </c>
      <c r="F123" s="8">
        <v>4</v>
      </c>
      <c r="G123" s="1">
        <v>0.05</v>
      </c>
      <c r="H123" s="1">
        <v>0.35</v>
      </c>
      <c r="I123" s="1">
        <v>0.6</v>
      </c>
      <c r="J123" s="13">
        <f t="shared" si="2"/>
        <v>115.75</v>
      </c>
      <c r="K123" s="14">
        <f>E123-L123-J123</f>
        <v>810.25</v>
      </c>
      <c r="L123" s="14">
        <f>E123*I123</f>
        <v>1389</v>
      </c>
      <c r="M123" s="11">
        <f>J123*F123</f>
        <v>463</v>
      </c>
      <c r="N123" s="11">
        <f>K123*F123</f>
        <v>3241</v>
      </c>
      <c r="O123" s="12">
        <f>L123*F123</f>
        <v>5556</v>
      </c>
    </row>
    <row r="124" spans="1:15" x14ac:dyDescent="0.25">
      <c r="A124" s="102">
        <f>IF(Table8[[#This Row],[in-game_name]]&lt;&gt;"",ROW(A123),"")</f>
        <v>123</v>
      </c>
      <c r="B124" s="105" t="s">
        <v>37</v>
      </c>
      <c r="C124" s="92">
        <f>_xlfn.XLOOKUP(B124,Table4[in-game_name],Table4[user_number],"User Not Found")</f>
        <v>24</v>
      </c>
      <c r="D124" s="3">
        <v>44507</v>
      </c>
      <c r="E124" s="1">
        <v>2258</v>
      </c>
      <c r="F124" s="8">
        <v>4</v>
      </c>
      <c r="G124" s="1">
        <v>0.13</v>
      </c>
      <c r="H124" s="1">
        <v>0.37</v>
      </c>
      <c r="I124" s="1">
        <v>0.5</v>
      </c>
      <c r="J124" s="13">
        <f t="shared" si="2"/>
        <v>293.54000000000002</v>
      </c>
      <c r="K124" s="14">
        <f>E124-L124-J124</f>
        <v>835.46</v>
      </c>
      <c r="L124" s="14">
        <f>E124*I124</f>
        <v>1129</v>
      </c>
      <c r="M124" s="11">
        <f>J124*F124</f>
        <v>1174.1600000000001</v>
      </c>
      <c r="N124" s="11">
        <f>K124*F124</f>
        <v>3341.84</v>
      </c>
      <c r="O124" s="12">
        <f>L124*F124</f>
        <v>4516</v>
      </c>
    </row>
    <row r="125" spans="1:15" x14ac:dyDescent="0.25">
      <c r="A125" s="102">
        <f>IF(Table8[[#This Row],[in-game_name]]&lt;&gt;"",ROW(A124),"")</f>
        <v>124</v>
      </c>
      <c r="B125" s="105" t="s">
        <v>47</v>
      </c>
      <c r="C125" s="92">
        <f>_xlfn.XLOOKUP(B125,Table4[in-game_name],Table4[user_number],"User Not Found")</f>
        <v>26</v>
      </c>
      <c r="D125" s="3">
        <v>44507</v>
      </c>
      <c r="E125" s="1">
        <v>2482</v>
      </c>
      <c r="F125" s="8">
        <v>4</v>
      </c>
      <c r="G125" s="1">
        <v>0.05</v>
      </c>
      <c r="H125" s="1">
        <v>0.35</v>
      </c>
      <c r="I125" s="1">
        <v>0.6</v>
      </c>
      <c r="J125" s="13">
        <f t="shared" si="2"/>
        <v>124.10000000000001</v>
      </c>
      <c r="K125" s="14">
        <f>E125-L125-J125</f>
        <v>868.69999999999993</v>
      </c>
      <c r="L125" s="14">
        <f>E125*I125</f>
        <v>1489.2</v>
      </c>
      <c r="M125" s="11">
        <f>J125*F125</f>
        <v>496.40000000000003</v>
      </c>
      <c r="N125" s="11">
        <f>K125*F125</f>
        <v>3474.7999999999997</v>
      </c>
      <c r="O125" s="12">
        <f>L125*F125</f>
        <v>5956.8</v>
      </c>
    </row>
    <row r="126" spans="1:15" x14ac:dyDescent="0.25">
      <c r="A126" s="102">
        <f>IF(Table8[[#This Row],[in-game_name]]&lt;&gt;"",ROW(A125),"")</f>
        <v>125</v>
      </c>
      <c r="B126" s="105" t="s">
        <v>29</v>
      </c>
      <c r="C126" s="92">
        <f>_xlfn.XLOOKUP(B126,Table4[in-game_name],Table4[user_number],"User Not Found")</f>
        <v>39</v>
      </c>
      <c r="D126" s="3">
        <v>44507</v>
      </c>
      <c r="E126" s="1">
        <v>1369</v>
      </c>
      <c r="F126" s="8">
        <v>4</v>
      </c>
      <c r="G126" s="1">
        <v>0.05</v>
      </c>
      <c r="H126" s="1">
        <v>0.25</v>
      </c>
      <c r="I126" s="1">
        <v>0.7</v>
      </c>
      <c r="J126" s="13">
        <f t="shared" si="2"/>
        <v>68.45</v>
      </c>
      <c r="K126" s="14">
        <f>E126-L126-J126</f>
        <v>342.25000000000006</v>
      </c>
      <c r="L126" s="14">
        <f>E126*I126</f>
        <v>958.3</v>
      </c>
      <c r="M126" s="11">
        <f>J126*F126</f>
        <v>273.8</v>
      </c>
      <c r="N126" s="11">
        <f>K126*F126</f>
        <v>1369.0000000000002</v>
      </c>
      <c r="O126" s="12">
        <f>L126*F126</f>
        <v>3833.2</v>
      </c>
    </row>
    <row r="127" spans="1:15" x14ac:dyDescent="0.25">
      <c r="A127" s="102">
        <f>IF(Table8[[#This Row],[in-game_name]]&lt;&gt;"",ROW(A126),"")</f>
        <v>126</v>
      </c>
      <c r="B127" s="105" t="s">
        <v>72</v>
      </c>
      <c r="C127" s="92">
        <f>_xlfn.XLOOKUP(B127,Table4[in-game_name],Table4[user_number],"User Not Found")</f>
        <v>47</v>
      </c>
      <c r="D127" s="3">
        <v>44507</v>
      </c>
      <c r="E127" s="1">
        <v>1871</v>
      </c>
      <c r="F127" s="8">
        <v>4.2</v>
      </c>
      <c r="G127" s="1">
        <v>0.05</v>
      </c>
      <c r="H127" s="1">
        <v>0.35</v>
      </c>
      <c r="I127" s="1">
        <v>0.6</v>
      </c>
      <c r="J127" s="13">
        <f t="shared" si="2"/>
        <v>93.550000000000011</v>
      </c>
      <c r="K127" s="14">
        <f>E127-L127-J127</f>
        <v>654.85000000000014</v>
      </c>
      <c r="L127" s="14">
        <f>E127*I127</f>
        <v>1122.5999999999999</v>
      </c>
      <c r="M127" s="11">
        <f>J127*F127</f>
        <v>392.91000000000008</v>
      </c>
      <c r="N127" s="11">
        <f>K127*F127</f>
        <v>2750.3700000000008</v>
      </c>
      <c r="O127" s="12">
        <f>L127*F127</f>
        <v>4714.92</v>
      </c>
    </row>
    <row r="128" spans="1:15" x14ac:dyDescent="0.25">
      <c r="A128" s="102">
        <f>IF(Table8[[#This Row],[in-game_name]]&lt;&gt;"",ROW(A127),"")</f>
        <v>127</v>
      </c>
      <c r="B128" s="105" t="s">
        <v>92</v>
      </c>
      <c r="C128" s="92">
        <f>_xlfn.XLOOKUP(B128,Table4[in-game_name],Table4[user_number],"User Not Found")</f>
        <v>17</v>
      </c>
      <c r="D128" s="3">
        <v>44507</v>
      </c>
      <c r="E128" s="1">
        <v>2072</v>
      </c>
      <c r="F128" s="8">
        <v>4</v>
      </c>
      <c r="G128" s="1">
        <v>0.05</v>
      </c>
      <c r="H128" s="1">
        <v>0.35</v>
      </c>
      <c r="I128" s="1">
        <v>0.6</v>
      </c>
      <c r="J128" s="13">
        <f t="shared" si="2"/>
        <v>103.60000000000001</v>
      </c>
      <c r="K128" s="14">
        <f>E128-L128-J128</f>
        <v>725.19999999999993</v>
      </c>
      <c r="L128" s="14">
        <f>E128*I128</f>
        <v>1243.2</v>
      </c>
      <c r="M128" s="11">
        <f>J128*F128</f>
        <v>414.40000000000003</v>
      </c>
      <c r="N128" s="11">
        <f>K128*F128</f>
        <v>2900.7999999999997</v>
      </c>
      <c r="O128" s="12">
        <f>L128*F128</f>
        <v>4972.8</v>
      </c>
    </row>
    <row r="129" spans="1:15" x14ac:dyDescent="0.25">
      <c r="A129" s="102">
        <f>IF(Table8[[#This Row],[in-game_name]]&lt;&gt;"",ROW(A128),"")</f>
        <v>128</v>
      </c>
      <c r="B129" s="105" t="s">
        <v>80</v>
      </c>
      <c r="C129" s="92">
        <f>_xlfn.XLOOKUP(B129,Table4[in-game_name],Table4[user_number],"User Not Found")</f>
        <v>49</v>
      </c>
      <c r="D129" s="3">
        <v>44507</v>
      </c>
      <c r="E129" s="1">
        <v>2534</v>
      </c>
      <c r="F129" s="8">
        <v>4.2</v>
      </c>
      <c r="G129" s="1">
        <v>0.05</v>
      </c>
      <c r="H129" s="1">
        <v>0.35</v>
      </c>
      <c r="I129" s="1">
        <v>0.6</v>
      </c>
      <c r="J129" s="13">
        <f t="shared" si="2"/>
        <v>126.7</v>
      </c>
      <c r="K129" s="14">
        <f>E129-L129-J129</f>
        <v>886.90000000000009</v>
      </c>
      <c r="L129" s="14">
        <f>E129*I129</f>
        <v>1520.3999999999999</v>
      </c>
      <c r="M129" s="11">
        <f>J129*F129</f>
        <v>532.14</v>
      </c>
      <c r="N129" s="11">
        <f>K129*F129</f>
        <v>3724.9800000000005</v>
      </c>
      <c r="O129" s="12">
        <f>L129*F129</f>
        <v>6385.6799999999994</v>
      </c>
    </row>
    <row r="130" spans="1:15" x14ac:dyDescent="0.25">
      <c r="A130" s="102">
        <f>IF(Table8[[#This Row],[in-game_name]]&lt;&gt;"",ROW(A129),"")</f>
        <v>129</v>
      </c>
      <c r="B130" s="105" t="s">
        <v>48</v>
      </c>
      <c r="C130" s="92">
        <f>_xlfn.XLOOKUP(B130,Table4[in-game_name],Table4[user_number],"User Not Found")</f>
        <v>43</v>
      </c>
      <c r="D130" s="3">
        <v>44511</v>
      </c>
      <c r="E130" s="1">
        <v>1491</v>
      </c>
      <c r="F130" s="8">
        <v>3</v>
      </c>
      <c r="G130" s="1">
        <v>0.05</v>
      </c>
      <c r="H130" s="1">
        <v>0.35</v>
      </c>
      <c r="I130" s="1">
        <v>0.6</v>
      </c>
      <c r="J130" s="13">
        <f t="shared" ref="J130:J193" si="3">E130*G130</f>
        <v>74.55</v>
      </c>
      <c r="K130" s="14">
        <f>E130-L130-J130</f>
        <v>521.85</v>
      </c>
      <c r="L130" s="14">
        <f>E130*I130</f>
        <v>894.6</v>
      </c>
      <c r="M130" s="11">
        <f>J130*F130</f>
        <v>223.64999999999998</v>
      </c>
      <c r="N130" s="11">
        <f>K130*F130</f>
        <v>1565.5500000000002</v>
      </c>
      <c r="O130" s="12">
        <f>L130*F130</f>
        <v>2683.8</v>
      </c>
    </row>
    <row r="131" spans="1:15" x14ac:dyDescent="0.25">
      <c r="A131" s="102">
        <f>IF(Table8[[#This Row],[in-game_name]]&lt;&gt;"",ROW(A130),"")</f>
        <v>130</v>
      </c>
      <c r="B131" s="105" t="s">
        <v>72</v>
      </c>
      <c r="C131" s="92">
        <f>_xlfn.XLOOKUP(B131,Table4[in-game_name],Table4[user_number],"User Not Found")</f>
        <v>47</v>
      </c>
      <c r="D131" s="3">
        <v>44511</v>
      </c>
      <c r="E131" s="1">
        <v>9</v>
      </c>
      <c r="F131" s="8">
        <v>3</v>
      </c>
      <c r="G131" s="1">
        <v>0.05</v>
      </c>
      <c r="H131" s="1">
        <v>0.35</v>
      </c>
      <c r="I131" s="1">
        <v>0.6</v>
      </c>
      <c r="J131" s="13">
        <f t="shared" si="3"/>
        <v>0.45</v>
      </c>
      <c r="K131" s="14">
        <f>E131-L131-J131</f>
        <v>3.1500000000000004</v>
      </c>
      <c r="L131" s="14">
        <f>E131*I131</f>
        <v>5.3999999999999995</v>
      </c>
      <c r="M131" s="11">
        <f>J131*F131</f>
        <v>1.35</v>
      </c>
      <c r="N131" s="11">
        <f>K131*F131</f>
        <v>9.4500000000000011</v>
      </c>
      <c r="O131" s="12">
        <f>L131*F131</f>
        <v>16.2</v>
      </c>
    </row>
    <row r="132" spans="1:15" x14ac:dyDescent="0.25">
      <c r="A132" s="102">
        <f>IF(Table8[[#This Row],[in-game_name]]&lt;&gt;"",ROW(A131),"")</f>
        <v>131</v>
      </c>
      <c r="B132" s="105" t="s">
        <v>70</v>
      </c>
      <c r="C132" s="92">
        <f>_xlfn.XLOOKUP(B132,Table4[in-game_name],Table4[user_number],"User Not Found")</f>
        <v>13</v>
      </c>
      <c r="D132" s="3">
        <v>44511</v>
      </c>
      <c r="E132" s="1">
        <v>79</v>
      </c>
      <c r="F132" s="8">
        <v>3</v>
      </c>
      <c r="G132" s="1">
        <v>0.05</v>
      </c>
      <c r="H132" s="1">
        <v>0.35</v>
      </c>
      <c r="I132" s="1">
        <v>0.6</v>
      </c>
      <c r="J132" s="13">
        <f t="shared" si="3"/>
        <v>3.95</v>
      </c>
      <c r="K132" s="14">
        <f>E132-L132-J132</f>
        <v>27.650000000000002</v>
      </c>
      <c r="L132" s="14">
        <f>E132*I132</f>
        <v>47.4</v>
      </c>
      <c r="M132" s="11">
        <f>J132*F132</f>
        <v>11.850000000000001</v>
      </c>
      <c r="N132" s="11">
        <f>K132*F132</f>
        <v>82.95</v>
      </c>
      <c r="O132" s="12">
        <f>L132*F132</f>
        <v>142.19999999999999</v>
      </c>
    </row>
    <row r="133" spans="1:15" x14ac:dyDescent="0.25">
      <c r="A133" s="102">
        <f>IF(Table8[[#This Row],[in-game_name]]&lt;&gt;"",ROW(A132),"")</f>
        <v>132</v>
      </c>
      <c r="B133" s="105" t="s">
        <v>56</v>
      </c>
      <c r="C133" s="92">
        <f>_xlfn.XLOOKUP(B133,Table4[in-game_name],Table4[user_number],"User Not Found")</f>
        <v>28</v>
      </c>
      <c r="D133" s="3">
        <v>44512</v>
      </c>
      <c r="E133" s="1">
        <v>1847</v>
      </c>
      <c r="F133" s="8">
        <v>4.3</v>
      </c>
      <c r="G133" s="1">
        <v>0.15</v>
      </c>
      <c r="H133" s="1">
        <v>0.35</v>
      </c>
      <c r="I133" s="1">
        <v>0.5</v>
      </c>
      <c r="J133" s="13">
        <f t="shared" si="3"/>
        <v>277.05</v>
      </c>
      <c r="K133" s="14">
        <f>E133-L133-J133</f>
        <v>646.45000000000005</v>
      </c>
      <c r="L133" s="14">
        <f>E133*I133</f>
        <v>923.5</v>
      </c>
      <c r="M133" s="11">
        <f>J133*F133</f>
        <v>1191.3150000000001</v>
      </c>
      <c r="N133" s="11">
        <f>K133*F133</f>
        <v>2779.7350000000001</v>
      </c>
      <c r="O133" s="12">
        <f>L133*F133</f>
        <v>3971.0499999999997</v>
      </c>
    </row>
    <row r="134" spans="1:15" x14ac:dyDescent="0.25">
      <c r="A134" s="102">
        <f>IF(Table8[[#This Row],[in-game_name]]&lt;&gt;"",ROW(A133),"")</f>
        <v>133</v>
      </c>
      <c r="B134" s="105" t="s">
        <v>71</v>
      </c>
      <c r="C134" s="92">
        <f>_xlfn.XLOOKUP(B134,Table4[in-game_name],Table4[user_number],"User Not Found")</f>
        <v>30</v>
      </c>
      <c r="D134" s="3">
        <v>44512</v>
      </c>
      <c r="E134" s="1">
        <v>3862</v>
      </c>
      <c r="F134" s="8">
        <v>4.3</v>
      </c>
      <c r="G134" s="1">
        <v>0.15</v>
      </c>
      <c r="H134" s="1">
        <v>0.35</v>
      </c>
      <c r="I134" s="1">
        <v>0.5</v>
      </c>
      <c r="J134" s="13">
        <f t="shared" si="3"/>
        <v>579.29999999999995</v>
      </c>
      <c r="K134" s="14">
        <f>E134-L134-J134</f>
        <v>1351.7</v>
      </c>
      <c r="L134" s="14">
        <f>E134*I134</f>
        <v>1931</v>
      </c>
      <c r="M134" s="11">
        <f>J134*F134</f>
        <v>2490.9899999999998</v>
      </c>
      <c r="N134" s="11">
        <f>K134*F134</f>
        <v>5812.31</v>
      </c>
      <c r="O134" s="12">
        <f>L134*F134</f>
        <v>8303.2999999999993</v>
      </c>
    </row>
    <row r="135" spans="1:15" x14ac:dyDescent="0.25">
      <c r="A135" s="102">
        <f>IF(Table8[[#This Row],[in-game_name]]&lt;&gt;"",ROW(A134),"")</f>
        <v>134</v>
      </c>
      <c r="B135" s="105" t="s">
        <v>91</v>
      </c>
      <c r="C135" s="92">
        <f>_xlfn.XLOOKUP(B135,Table4[in-game_name],Table4[user_number],"User Not Found")</f>
        <v>33</v>
      </c>
      <c r="D135" s="3">
        <v>44512</v>
      </c>
      <c r="E135" s="1">
        <v>2180</v>
      </c>
      <c r="F135" s="8">
        <v>4.3</v>
      </c>
      <c r="G135" s="1">
        <v>0.1</v>
      </c>
      <c r="H135" s="1">
        <v>0.4</v>
      </c>
      <c r="I135" s="1">
        <v>0.5</v>
      </c>
      <c r="J135" s="13">
        <f t="shared" si="3"/>
        <v>218</v>
      </c>
      <c r="K135" s="14">
        <f>E135-L135-J135</f>
        <v>872</v>
      </c>
      <c r="L135" s="14">
        <f>E135*I135</f>
        <v>1090</v>
      </c>
      <c r="M135" s="11">
        <f>J135*F135</f>
        <v>937.4</v>
      </c>
      <c r="N135" s="11">
        <f>K135*F135</f>
        <v>3749.6</v>
      </c>
      <c r="O135" s="12">
        <f>L135*F135</f>
        <v>4687</v>
      </c>
    </row>
    <row r="136" spans="1:15" x14ac:dyDescent="0.25">
      <c r="A136" s="102">
        <f>IF(Table8[[#This Row],[in-game_name]]&lt;&gt;"",ROW(A135),"")</f>
        <v>135</v>
      </c>
      <c r="B136" s="105" t="s">
        <v>47</v>
      </c>
      <c r="C136" s="92">
        <f>_xlfn.XLOOKUP(B136,Table4[in-game_name],Table4[user_number],"User Not Found")</f>
        <v>26</v>
      </c>
      <c r="D136" s="3">
        <v>44512</v>
      </c>
      <c r="E136" s="1">
        <v>4200</v>
      </c>
      <c r="F136" s="8">
        <v>4.3</v>
      </c>
      <c r="G136" s="1">
        <v>0.1</v>
      </c>
      <c r="H136" s="1">
        <v>0.4</v>
      </c>
      <c r="I136" s="1">
        <v>0.5</v>
      </c>
      <c r="J136" s="13">
        <f t="shared" si="3"/>
        <v>420</v>
      </c>
      <c r="K136" s="14">
        <f>E136-L136-J136</f>
        <v>1680</v>
      </c>
      <c r="L136" s="14">
        <f>E136*I136</f>
        <v>2100</v>
      </c>
      <c r="M136" s="11">
        <f>J136*F136</f>
        <v>1806</v>
      </c>
      <c r="N136" s="11">
        <f>K136*F136</f>
        <v>7224</v>
      </c>
      <c r="O136" s="12">
        <f>L136*F136</f>
        <v>9030</v>
      </c>
    </row>
    <row r="137" spans="1:15" x14ac:dyDescent="0.25">
      <c r="A137" s="102">
        <f>IF(Table8[[#This Row],[in-game_name]]&lt;&gt;"",ROW(A136),"")</f>
        <v>136</v>
      </c>
      <c r="B137" s="105" t="s">
        <v>29</v>
      </c>
      <c r="C137" s="92">
        <f>_xlfn.XLOOKUP(B137,Table4[in-game_name],Table4[user_number],"User Not Found")</f>
        <v>39</v>
      </c>
      <c r="D137" s="3">
        <v>44512</v>
      </c>
      <c r="E137" s="1">
        <v>1846</v>
      </c>
      <c r="F137" s="8">
        <v>4.3</v>
      </c>
      <c r="G137" s="1">
        <v>0.1</v>
      </c>
      <c r="H137" s="1">
        <v>0.4</v>
      </c>
      <c r="I137" s="1">
        <v>0.5</v>
      </c>
      <c r="J137" s="13">
        <f t="shared" si="3"/>
        <v>184.60000000000002</v>
      </c>
      <c r="K137" s="14">
        <f>E137-L137-J137</f>
        <v>738.4</v>
      </c>
      <c r="L137" s="14">
        <f>E137*I137</f>
        <v>923</v>
      </c>
      <c r="M137" s="11">
        <f>J137*F137</f>
        <v>793.78000000000009</v>
      </c>
      <c r="N137" s="11">
        <f>K137*F137</f>
        <v>3175.12</v>
      </c>
      <c r="O137" s="12">
        <f>L137*F137</f>
        <v>3968.8999999999996</v>
      </c>
    </row>
    <row r="138" spans="1:15" x14ac:dyDescent="0.25">
      <c r="A138" s="102">
        <f>IF(Table8[[#This Row],[in-game_name]]&lt;&gt;"",ROW(A137),"")</f>
        <v>137</v>
      </c>
      <c r="B138" s="105" t="s">
        <v>72</v>
      </c>
      <c r="C138" s="92">
        <f>_xlfn.XLOOKUP(B138,Table4[in-game_name],Table4[user_number],"User Not Found")</f>
        <v>47</v>
      </c>
      <c r="D138" s="3">
        <v>44512</v>
      </c>
      <c r="E138" s="1">
        <v>1444</v>
      </c>
      <c r="F138" s="8">
        <v>4.2</v>
      </c>
      <c r="G138" s="1">
        <v>0.1</v>
      </c>
      <c r="H138" s="1">
        <v>0.4</v>
      </c>
      <c r="I138" s="1">
        <v>0.5</v>
      </c>
      <c r="J138" s="13">
        <f t="shared" si="3"/>
        <v>144.4</v>
      </c>
      <c r="K138" s="14">
        <f>E138-L138-J138</f>
        <v>577.6</v>
      </c>
      <c r="L138" s="14">
        <f>E138*I138</f>
        <v>722</v>
      </c>
      <c r="M138" s="11">
        <f>J138*F138</f>
        <v>606.48</v>
      </c>
      <c r="N138" s="11">
        <f>K138*F138</f>
        <v>2425.92</v>
      </c>
      <c r="O138" s="12">
        <f>L138*F138</f>
        <v>3032.4</v>
      </c>
    </row>
    <row r="139" spans="1:15" x14ac:dyDescent="0.25">
      <c r="A139" s="102">
        <f>IF(Table8[[#This Row],[in-game_name]]&lt;&gt;"",ROW(A138),"")</f>
        <v>138</v>
      </c>
      <c r="B139" s="105" t="s">
        <v>92</v>
      </c>
      <c r="C139" s="92">
        <f>_xlfn.XLOOKUP(B139,Table4[in-game_name],Table4[user_number],"User Not Found")</f>
        <v>17</v>
      </c>
      <c r="D139" s="3">
        <v>44512</v>
      </c>
      <c r="E139" s="1">
        <v>2287</v>
      </c>
      <c r="F139" s="8">
        <v>4.3</v>
      </c>
      <c r="G139" s="1">
        <v>0.1</v>
      </c>
      <c r="H139" s="1">
        <v>0.4</v>
      </c>
      <c r="I139" s="1">
        <v>0.5</v>
      </c>
      <c r="J139" s="13">
        <f t="shared" si="3"/>
        <v>228.70000000000002</v>
      </c>
      <c r="K139" s="14">
        <f>E139-L139-J139</f>
        <v>914.8</v>
      </c>
      <c r="L139" s="14">
        <f>E139*I139</f>
        <v>1143.5</v>
      </c>
      <c r="M139" s="11">
        <f>J139*F139</f>
        <v>983.41000000000008</v>
      </c>
      <c r="N139" s="11">
        <f>K139*F139</f>
        <v>3933.6399999999994</v>
      </c>
      <c r="O139" s="12">
        <f>L139*F139</f>
        <v>4917.05</v>
      </c>
    </row>
    <row r="140" spans="1:15" x14ac:dyDescent="0.25">
      <c r="A140" s="102">
        <f>IF(Table8[[#This Row],[in-game_name]]&lt;&gt;"",ROW(A139),"")</f>
        <v>139</v>
      </c>
      <c r="B140" s="105" t="s">
        <v>80</v>
      </c>
      <c r="C140" s="92">
        <f>_xlfn.XLOOKUP(B140,Table4[in-game_name],Table4[user_number],"User Not Found")</f>
        <v>49</v>
      </c>
      <c r="D140" s="3">
        <v>44512</v>
      </c>
      <c r="E140" s="1">
        <v>2525</v>
      </c>
      <c r="F140" s="8">
        <v>4.3</v>
      </c>
      <c r="G140" s="1">
        <v>0.1</v>
      </c>
      <c r="H140" s="1">
        <v>0.4</v>
      </c>
      <c r="I140" s="1">
        <v>0.5</v>
      </c>
      <c r="J140" s="13">
        <f t="shared" si="3"/>
        <v>252.5</v>
      </c>
      <c r="K140" s="14">
        <f>E140-L140-J140</f>
        <v>1010</v>
      </c>
      <c r="L140" s="14">
        <f>E140*I140</f>
        <v>1262.5</v>
      </c>
      <c r="M140" s="11">
        <f>J140*F140</f>
        <v>1085.75</v>
      </c>
      <c r="N140" s="11">
        <f>K140*F140</f>
        <v>4343</v>
      </c>
      <c r="O140" s="12">
        <f>L140*F140</f>
        <v>5428.75</v>
      </c>
    </row>
    <row r="141" spans="1:15" x14ac:dyDescent="0.25">
      <c r="A141" s="102">
        <f>IF(Table8[[#This Row],[in-game_name]]&lt;&gt;"",ROW(A140),"")</f>
        <v>140</v>
      </c>
      <c r="B141" s="105" t="s">
        <v>7</v>
      </c>
      <c r="C141" s="92">
        <f>_xlfn.XLOOKUP(B141,Table4[in-game_name],Table4[user_number],"User Not Found")</f>
        <v>35</v>
      </c>
      <c r="D141" s="3">
        <v>44513</v>
      </c>
      <c r="E141" s="1">
        <v>1898</v>
      </c>
      <c r="F141" s="8">
        <v>3.4</v>
      </c>
      <c r="G141" s="1">
        <v>0.05</v>
      </c>
      <c r="H141" s="1">
        <v>0.45</v>
      </c>
      <c r="I141" s="1">
        <v>0.49999999999999994</v>
      </c>
      <c r="J141" s="13">
        <f t="shared" si="3"/>
        <v>94.9</v>
      </c>
      <c r="K141" s="14">
        <f>E141-L141-J141</f>
        <v>854.10000000000014</v>
      </c>
      <c r="L141" s="14">
        <f>E141*I141</f>
        <v>948.99999999999989</v>
      </c>
      <c r="M141" s="11">
        <f>J141*F141</f>
        <v>322.66000000000003</v>
      </c>
      <c r="N141" s="11">
        <f>K141*F141</f>
        <v>2903.9400000000005</v>
      </c>
      <c r="O141" s="12">
        <f>L141*F141</f>
        <v>3226.5999999999995</v>
      </c>
    </row>
    <row r="142" spans="1:15" x14ac:dyDescent="0.25">
      <c r="A142" s="102">
        <f>IF(Table8[[#This Row],[in-game_name]]&lt;&gt;"",ROW(A141),"")</f>
        <v>141</v>
      </c>
      <c r="B142" s="105" t="s">
        <v>19</v>
      </c>
      <c r="C142" s="92">
        <f>_xlfn.XLOOKUP(B142,Table4[in-game_name],Table4[user_number],"User Not Found")</f>
        <v>37</v>
      </c>
      <c r="D142" s="3">
        <v>44514</v>
      </c>
      <c r="E142" s="1">
        <v>2074</v>
      </c>
      <c r="F142" s="8">
        <v>3.4</v>
      </c>
      <c r="G142" s="1">
        <v>0.2</v>
      </c>
      <c r="H142" s="1">
        <v>0.35</v>
      </c>
      <c r="I142" s="1">
        <v>0.45000000000000007</v>
      </c>
      <c r="J142" s="13">
        <f t="shared" si="3"/>
        <v>414.8</v>
      </c>
      <c r="K142" s="14">
        <f>E142-L142-J142</f>
        <v>725.89999999999986</v>
      </c>
      <c r="L142" s="14">
        <f>E142*I142</f>
        <v>933.30000000000018</v>
      </c>
      <c r="M142" s="11">
        <f>J142*F142</f>
        <v>1410.32</v>
      </c>
      <c r="N142" s="11">
        <f>K142*F142</f>
        <v>2468.0599999999995</v>
      </c>
      <c r="O142" s="12">
        <f>L142*F142</f>
        <v>3173.2200000000007</v>
      </c>
    </row>
    <row r="143" spans="1:15" x14ac:dyDescent="0.25">
      <c r="A143" s="102">
        <f>IF(Table8[[#This Row],[in-game_name]]&lt;&gt;"",ROW(A142),"")</f>
        <v>142</v>
      </c>
      <c r="B143" s="105" t="s">
        <v>17</v>
      </c>
      <c r="C143" s="92">
        <f>_xlfn.XLOOKUP(B143,Table4[in-game_name],Table4[user_number],"User Not Found")</f>
        <v>3</v>
      </c>
      <c r="D143" s="3">
        <v>44515</v>
      </c>
      <c r="E143" s="1">
        <v>3236</v>
      </c>
      <c r="F143" s="8">
        <v>3.4</v>
      </c>
      <c r="G143" s="1">
        <v>0</v>
      </c>
      <c r="H143" s="1">
        <v>1</v>
      </c>
      <c r="I143" s="1">
        <v>0</v>
      </c>
      <c r="J143" s="13">
        <f t="shared" si="3"/>
        <v>0</v>
      </c>
      <c r="K143" s="14">
        <f>E143-L143-J143</f>
        <v>3236</v>
      </c>
      <c r="L143" s="14">
        <f>E143*I143</f>
        <v>0</v>
      </c>
      <c r="M143" s="11">
        <f>J143*F143</f>
        <v>0</v>
      </c>
      <c r="N143" s="11">
        <f>K143*F143</f>
        <v>11002.4</v>
      </c>
      <c r="O143" s="12">
        <f>L143*F143</f>
        <v>0</v>
      </c>
    </row>
    <row r="144" spans="1:15" x14ac:dyDescent="0.25">
      <c r="A144" s="102">
        <f>IF(Table8[[#This Row],[in-game_name]]&lt;&gt;"",ROW(A143),"")</f>
        <v>143</v>
      </c>
      <c r="B144" s="105" t="s">
        <v>36</v>
      </c>
      <c r="C144" s="92">
        <f>_xlfn.XLOOKUP(B144,Table4[in-game_name],Table4[user_number],"User Not Found")</f>
        <v>7</v>
      </c>
      <c r="D144" s="3">
        <v>44515</v>
      </c>
      <c r="E144" s="1">
        <v>2348</v>
      </c>
      <c r="F144" s="8">
        <v>3.5</v>
      </c>
      <c r="G144" s="1">
        <v>0.1</v>
      </c>
      <c r="H144" s="1">
        <v>0.4</v>
      </c>
      <c r="I144" s="1">
        <v>0.5</v>
      </c>
      <c r="J144" s="13">
        <f t="shared" si="3"/>
        <v>234.8</v>
      </c>
      <c r="K144" s="14">
        <f>E144-L144-J144</f>
        <v>939.2</v>
      </c>
      <c r="L144" s="14">
        <f>E144*I144</f>
        <v>1174</v>
      </c>
      <c r="M144" s="11">
        <f>J144*F144</f>
        <v>821.80000000000007</v>
      </c>
      <c r="N144" s="11">
        <f>K144*F144</f>
        <v>3287.2000000000003</v>
      </c>
      <c r="O144" s="12">
        <f>L144*F144</f>
        <v>4109</v>
      </c>
    </row>
    <row r="145" spans="1:15" x14ac:dyDescent="0.25">
      <c r="A145" s="102">
        <f>IF(Table8[[#This Row],[in-game_name]]&lt;&gt;"",ROW(A144),"")</f>
        <v>144</v>
      </c>
      <c r="B145" s="105" t="s">
        <v>17</v>
      </c>
      <c r="C145" s="92">
        <f>_xlfn.XLOOKUP(B145,Table4[in-game_name],Table4[user_number],"User Not Found")</f>
        <v>3</v>
      </c>
      <c r="D145" s="3">
        <v>44529</v>
      </c>
      <c r="E145" s="1">
        <v>3414</v>
      </c>
      <c r="F145" s="8">
        <v>4</v>
      </c>
      <c r="G145" s="1">
        <v>0</v>
      </c>
      <c r="H145" s="1">
        <v>1</v>
      </c>
      <c r="I145" s="1">
        <v>0</v>
      </c>
      <c r="J145" s="13">
        <f t="shared" si="3"/>
        <v>0</v>
      </c>
      <c r="K145" s="14">
        <f>E145-L145-J145</f>
        <v>3414</v>
      </c>
      <c r="L145" s="14">
        <f>E145*I145</f>
        <v>0</v>
      </c>
      <c r="M145" s="11">
        <f>J145*F145</f>
        <v>0</v>
      </c>
      <c r="N145" s="11">
        <f>K145*F145</f>
        <v>13656</v>
      </c>
      <c r="O145" s="12">
        <f>L145*F145</f>
        <v>0</v>
      </c>
    </row>
    <row r="146" spans="1:15" x14ac:dyDescent="0.25">
      <c r="A146" s="102">
        <f>IF(Table8[[#This Row],[in-game_name]]&lt;&gt;"",ROW(A145),"")</f>
        <v>145</v>
      </c>
      <c r="B146" s="105" t="s">
        <v>41</v>
      </c>
      <c r="C146" s="92">
        <f>_xlfn.XLOOKUP(B146,Table4[in-game_name],Table4[user_number],"User Not Found")</f>
        <v>8</v>
      </c>
      <c r="D146" s="3">
        <v>44515</v>
      </c>
      <c r="E146" s="1">
        <v>2825</v>
      </c>
      <c r="F146" s="8">
        <v>3.09</v>
      </c>
      <c r="G146" s="1">
        <v>0.1</v>
      </c>
      <c r="H146" s="1">
        <v>0.4</v>
      </c>
      <c r="I146" s="1">
        <v>0.5</v>
      </c>
      <c r="J146" s="13">
        <f t="shared" si="3"/>
        <v>282.5</v>
      </c>
      <c r="K146" s="14">
        <f>E146-L146-J146</f>
        <v>1130</v>
      </c>
      <c r="L146" s="14">
        <f>E146*I146</f>
        <v>1412.5</v>
      </c>
      <c r="M146" s="11">
        <f>J146*F146</f>
        <v>872.92499999999995</v>
      </c>
      <c r="N146" s="11">
        <f>K146*F146</f>
        <v>3491.7</v>
      </c>
      <c r="O146" s="12">
        <f>L146*F146</f>
        <v>4364.625</v>
      </c>
    </row>
    <row r="147" spans="1:15" x14ac:dyDescent="0.25">
      <c r="A147" s="102">
        <f>IF(Table8[[#This Row],[in-game_name]]&lt;&gt;"",ROW(A146),"")</f>
        <v>146</v>
      </c>
      <c r="B147" s="105" t="s">
        <v>37</v>
      </c>
      <c r="C147" s="92">
        <f>_xlfn.XLOOKUP(B147,Table4[in-game_name],Table4[user_number],"User Not Found")</f>
        <v>24</v>
      </c>
      <c r="D147" s="3">
        <v>44515</v>
      </c>
      <c r="E147" s="1">
        <v>1648</v>
      </c>
      <c r="F147" s="8">
        <v>4.2</v>
      </c>
      <c r="G147" s="1">
        <v>0.1</v>
      </c>
      <c r="H147" s="1">
        <v>0.4</v>
      </c>
      <c r="I147" s="1">
        <v>0.5</v>
      </c>
      <c r="J147" s="13">
        <f t="shared" si="3"/>
        <v>164.8</v>
      </c>
      <c r="K147" s="14">
        <f>E147-L147-J147</f>
        <v>659.2</v>
      </c>
      <c r="L147" s="14">
        <f>E147*I147</f>
        <v>824</v>
      </c>
      <c r="M147" s="11">
        <f>J147*F147</f>
        <v>692.16000000000008</v>
      </c>
      <c r="N147" s="11">
        <f>K147*F147</f>
        <v>2768.6400000000003</v>
      </c>
      <c r="O147" s="12">
        <f>L147*F147</f>
        <v>3460.8</v>
      </c>
    </row>
    <row r="148" spans="1:15" x14ac:dyDescent="0.25">
      <c r="A148" s="102">
        <f>IF(Table8[[#This Row],[in-game_name]]&lt;&gt;"",ROW(A147),"")</f>
        <v>147</v>
      </c>
      <c r="B148" s="105" t="s">
        <v>36</v>
      </c>
      <c r="C148" s="92">
        <f>_xlfn.XLOOKUP(B148,Table4[in-game_name],Table4[user_number],"User Not Found")</f>
        <v>7</v>
      </c>
      <c r="D148" s="3">
        <v>44515</v>
      </c>
      <c r="E148" s="1">
        <v>2009</v>
      </c>
      <c r="F148" s="8">
        <v>4</v>
      </c>
      <c r="G148" s="1">
        <v>0.15</v>
      </c>
      <c r="H148" s="1">
        <v>0.35</v>
      </c>
      <c r="I148" s="1">
        <v>0.5</v>
      </c>
      <c r="J148" s="13">
        <f t="shared" si="3"/>
        <v>301.34999999999997</v>
      </c>
      <c r="K148" s="14">
        <f>E148-L148-J148</f>
        <v>703.15000000000009</v>
      </c>
      <c r="L148" s="14">
        <f>E148*I148</f>
        <v>1004.5</v>
      </c>
      <c r="M148" s="11">
        <f>J148*F148</f>
        <v>1205.3999999999999</v>
      </c>
      <c r="N148" s="11">
        <f>K148*F148</f>
        <v>2812.6000000000004</v>
      </c>
      <c r="O148" s="12">
        <f>L148*F148</f>
        <v>4018</v>
      </c>
    </row>
    <row r="149" spans="1:15" x14ac:dyDescent="0.25">
      <c r="A149" s="102">
        <f>IF(Table8[[#This Row],[in-game_name]]&lt;&gt;"",ROW(A148),"")</f>
        <v>148</v>
      </c>
      <c r="B149" s="105" t="s">
        <v>53</v>
      </c>
      <c r="C149" s="92">
        <f>_xlfn.XLOOKUP(B149,Table4[in-game_name],Table4[user_number],"User Not Found")</f>
        <v>44</v>
      </c>
      <c r="D149" s="3">
        <v>44515</v>
      </c>
      <c r="E149" s="1">
        <v>639</v>
      </c>
      <c r="F149" s="8">
        <v>3</v>
      </c>
      <c r="G149" s="1">
        <v>0.15</v>
      </c>
      <c r="H149" s="1">
        <v>0.35</v>
      </c>
      <c r="I149" s="1">
        <v>0.5</v>
      </c>
      <c r="J149" s="13">
        <f t="shared" si="3"/>
        <v>95.85</v>
      </c>
      <c r="K149" s="14">
        <f>E149-L149-J149</f>
        <v>223.65</v>
      </c>
      <c r="L149" s="14">
        <f>E149*I149</f>
        <v>319.5</v>
      </c>
      <c r="M149" s="11">
        <f>J149*F149</f>
        <v>287.54999999999995</v>
      </c>
      <c r="N149" s="11">
        <f>K149*F149</f>
        <v>670.95</v>
      </c>
      <c r="O149" s="12">
        <f>L149*F149</f>
        <v>958.5</v>
      </c>
    </row>
    <row r="150" spans="1:15" x14ac:dyDescent="0.25">
      <c r="A150" s="102">
        <f>IF(Table8[[#This Row],[in-game_name]]&lt;&gt;"",ROW(A149),"")</f>
        <v>149</v>
      </c>
      <c r="B150" s="105" t="s">
        <v>41</v>
      </c>
      <c r="C150" s="92">
        <f>_xlfn.XLOOKUP(B150,Table4[in-game_name],Table4[user_number],"User Not Found")</f>
        <v>8</v>
      </c>
      <c r="D150" s="3">
        <v>44516</v>
      </c>
      <c r="E150" s="1">
        <v>2413</v>
      </c>
      <c r="F150" s="8">
        <v>3.3</v>
      </c>
      <c r="G150" s="1">
        <v>0.1</v>
      </c>
      <c r="H150" s="1">
        <v>0.4</v>
      </c>
      <c r="I150" s="1">
        <v>0.5</v>
      </c>
      <c r="J150" s="13">
        <f t="shared" si="3"/>
        <v>241.3</v>
      </c>
      <c r="K150" s="14">
        <f>E150-L150-J150</f>
        <v>965.2</v>
      </c>
      <c r="L150" s="14">
        <f>E150*I150</f>
        <v>1206.5</v>
      </c>
      <c r="M150" s="11">
        <f>J150*F150</f>
        <v>796.29</v>
      </c>
      <c r="N150" s="11">
        <f>K150*F150</f>
        <v>3185.16</v>
      </c>
      <c r="O150" s="12">
        <f>L150*F150</f>
        <v>3981.45</v>
      </c>
    </row>
    <row r="151" spans="1:15" x14ac:dyDescent="0.25">
      <c r="A151" s="102">
        <f>IF(Table8[[#This Row],[in-game_name]]&lt;&gt;"",ROW(A150),"")</f>
        <v>150</v>
      </c>
      <c r="B151" s="105" t="s">
        <v>5</v>
      </c>
      <c r="C151" s="92">
        <f>_xlfn.XLOOKUP(B151,Table4[in-game_name],Table4[user_number],"User Not Found")</f>
        <v>1</v>
      </c>
      <c r="D151" s="3">
        <v>44516</v>
      </c>
      <c r="E151" s="1">
        <v>3257</v>
      </c>
      <c r="F151" s="8">
        <v>4.3</v>
      </c>
      <c r="G151" s="1">
        <v>0</v>
      </c>
      <c r="H151" s="1">
        <v>1</v>
      </c>
      <c r="I151" s="1">
        <v>0</v>
      </c>
      <c r="J151" s="13">
        <f t="shared" si="3"/>
        <v>0</v>
      </c>
      <c r="K151" s="14">
        <f>E151-L151-J151</f>
        <v>3257</v>
      </c>
      <c r="L151" s="14">
        <f>E151*I151</f>
        <v>0</v>
      </c>
      <c r="M151" s="11">
        <f>J151*F151</f>
        <v>0</v>
      </c>
      <c r="N151" s="11">
        <f>K151*F151</f>
        <v>14005.099999999999</v>
      </c>
      <c r="O151" s="12">
        <f>L151*F151</f>
        <v>0</v>
      </c>
    </row>
    <row r="152" spans="1:15" x14ac:dyDescent="0.25">
      <c r="A152" s="102">
        <f>IF(Table8[[#This Row],[in-game_name]]&lt;&gt;"",ROW(A151),"")</f>
        <v>151</v>
      </c>
      <c r="B152" s="105" t="s">
        <v>46</v>
      </c>
      <c r="C152" s="92">
        <f>_xlfn.XLOOKUP(B152,Table4[in-game_name],Table4[user_number],"User Not Found")</f>
        <v>9</v>
      </c>
      <c r="D152" s="3">
        <v>44516</v>
      </c>
      <c r="E152" s="1">
        <v>2808</v>
      </c>
      <c r="F152" s="8">
        <v>4.0999999999999996</v>
      </c>
      <c r="G152" s="1">
        <v>0.15</v>
      </c>
      <c r="H152" s="1">
        <v>0.35</v>
      </c>
      <c r="I152" s="1">
        <v>0.5</v>
      </c>
      <c r="J152" s="13">
        <f t="shared" si="3"/>
        <v>421.2</v>
      </c>
      <c r="K152" s="14">
        <f>E152-L152-J152</f>
        <v>982.8</v>
      </c>
      <c r="L152" s="14">
        <f>E152*I152</f>
        <v>1404</v>
      </c>
      <c r="M152" s="11">
        <f>J152*F152</f>
        <v>1726.9199999999998</v>
      </c>
      <c r="N152" s="11">
        <f>K152*F152</f>
        <v>4029.4799999999996</v>
      </c>
      <c r="O152" s="12">
        <f>L152*F152</f>
        <v>5756.4</v>
      </c>
    </row>
    <row r="153" spans="1:15" x14ac:dyDescent="0.25">
      <c r="A153" s="102">
        <f>IF(Table8[[#This Row],[in-game_name]]&lt;&gt;"",ROW(A152),"")</f>
        <v>152</v>
      </c>
      <c r="B153" s="105" t="s">
        <v>43</v>
      </c>
      <c r="C153" s="92">
        <f>_xlfn.XLOOKUP(B153,Table4[in-game_name],Table4[user_number],"User Not Found")</f>
        <v>42</v>
      </c>
      <c r="D153" s="3">
        <v>44517</v>
      </c>
      <c r="E153" s="1">
        <v>2516</v>
      </c>
      <c r="F153" s="8">
        <v>3.3</v>
      </c>
      <c r="G153" s="1">
        <v>0.08</v>
      </c>
      <c r="H153" s="1">
        <v>0.42</v>
      </c>
      <c r="I153" s="1">
        <v>0.5</v>
      </c>
      <c r="J153" s="13">
        <f t="shared" si="3"/>
        <v>201.28</v>
      </c>
      <c r="K153" s="14">
        <f>E153-L153-J153</f>
        <v>1056.72</v>
      </c>
      <c r="L153" s="14">
        <f>E153*I153</f>
        <v>1258</v>
      </c>
      <c r="M153" s="11">
        <f>J153*F153</f>
        <v>664.22399999999993</v>
      </c>
      <c r="N153" s="11">
        <f>K153*F153</f>
        <v>3487.1759999999999</v>
      </c>
      <c r="O153" s="12">
        <f>L153*F153</f>
        <v>4151.3999999999996</v>
      </c>
    </row>
    <row r="154" spans="1:15" x14ac:dyDescent="0.25">
      <c r="A154" s="102">
        <f>IF(Table8[[#This Row],[in-game_name]]&lt;&gt;"",ROW(A153),"")</f>
        <v>153</v>
      </c>
      <c r="B154" s="105" t="s">
        <v>11</v>
      </c>
      <c r="C154" s="92">
        <f>_xlfn.XLOOKUP(B154,Table4[in-game_name],Table4[user_number],"User Not Found")</f>
        <v>2</v>
      </c>
      <c r="D154" s="3">
        <v>44517</v>
      </c>
      <c r="E154" s="1">
        <v>2926</v>
      </c>
      <c r="F154" s="8">
        <v>4.1500000000000004</v>
      </c>
      <c r="G154" s="1">
        <v>0</v>
      </c>
      <c r="H154" s="1">
        <v>1</v>
      </c>
      <c r="I154" s="1">
        <v>0</v>
      </c>
      <c r="J154" s="13">
        <f t="shared" si="3"/>
        <v>0</v>
      </c>
      <c r="K154" s="14">
        <f>E154-L154-J154</f>
        <v>2926</v>
      </c>
      <c r="L154" s="14">
        <f>E154*I154</f>
        <v>0</v>
      </c>
      <c r="M154" s="11">
        <f>J154*F154</f>
        <v>0</v>
      </c>
      <c r="N154" s="11">
        <f>K154*F154</f>
        <v>12142.900000000001</v>
      </c>
      <c r="O154" s="12">
        <f>L154*F154</f>
        <v>0</v>
      </c>
    </row>
    <row r="155" spans="1:15" x14ac:dyDescent="0.25">
      <c r="A155" s="102">
        <f>IF(Table8[[#This Row],[in-game_name]]&lt;&gt;"",ROW(A154),"")</f>
        <v>154</v>
      </c>
      <c r="B155" s="105" t="s">
        <v>46</v>
      </c>
      <c r="C155" s="92">
        <f>_xlfn.XLOOKUP(B155,Table4[in-game_name],Table4[user_number],"User Not Found")</f>
        <v>9</v>
      </c>
      <c r="D155" s="3">
        <v>44518</v>
      </c>
      <c r="E155" s="1">
        <v>2862</v>
      </c>
      <c r="F155" s="8">
        <v>3</v>
      </c>
      <c r="G155" s="1">
        <v>0.12</v>
      </c>
      <c r="H155" s="1">
        <v>0.37</v>
      </c>
      <c r="I155" s="1">
        <v>0.51</v>
      </c>
      <c r="J155" s="13">
        <f t="shared" si="3"/>
        <v>343.44</v>
      </c>
      <c r="K155" s="14">
        <f>E155-L155-J155</f>
        <v>1058.9399999999998</v>
      </c>
      <c r="L155" s="14">
        <f>E155*I155</f>
        <v>1459.6200000000001</v>
      </c>
      <c r="M155" s="11">
        <f>J155*F155</f>
        <v>1030.32</v>
      </c>
      <c r="N155" s="11">
        <f>K155*F155</f>
        <v>3176.8199999999997</v>
      </c>
      <c r="O155" s="12">
        <f>L155*F155</f>
        <v>4378.8600000000006</v>
      </c>
    </row>
    <row r="156" spans="1:15" x14ac:dyDescent="0.25">
      <c r="A156" s="102">
        <f>IF(Table8[[#This Row],[in-game_name]]&lt;&gt;"",ROW(A155),"")</f>
        <v>155</v>
      </c>
      <c r="B156" s="105" t="s">
        <v>19</v>
      </c>
      <c r="C156" s="92">
        <f>_xlfn.XLOOKUP(B156,Table4[in-game_name],Table4[user_number],"User Not Found")</f>
        <v>37</v>
      </c>
      <c r="D156" s="3">
        <v>44518</v>
      </c>
      <c r="E156" s="1">
        <v>1889</v>
      </c>
      <c r="F156" s="8">
        <v>3.7</v>
      </c>
      <c r="G156" s="1">
        <v>0.15</v>
      </c>
      <c r="H156" s="1">
        <v>0.35</v>
      </c>
      <c r="I156" s="1">
        <v>0.5</v>
      </c>
      <c r="J156" s="13">
        <f t="shared" si="3"/>
        <v>283.34999999999997</v>
      </c>
      <c r="K156" s="14">
        <f>E156-L156-J156</f>
        <v>661.15000000000009</v>
      </c>
      <c r="L156" s="14">
        <f>E156*I156</f>
        <v>944.5</v>
      </c>
      <c r="M156" s="11">
        <f>J156*F156</f>
        <v>1048.395</v>
      </c>
      <c r="N156" s="11">
        <f>K156*F156</f>
        <v>2446.2550000000006</v>
      </c>
      <c r="O156" s="12">
        <f>L156*F156</f>
        <v>3494.65</v>
      </c>
    </row>
    <row r="157" spans="1:15" x14ac:dyDescent="0.25">
      <c r="A157" s="102">
        <f>IF(Table8[[#This Row],[in-game_name]]&lt;&gt;"",ROW(A156),"")</f>
        <v>156</v>
      </c>
      <c r="B157" s="105" t="s">
        <v>56</v>
      </c>
      <c r="C157" s="92">
        <f>_xlfn.XLOOKUP(B157,Table4[in-game_name],Table4[user_number],"User Not Found")</f>
        <v>28</v>
      </c>
      <c r="D157" s="3">
        <v>44519</v>
      </c>
      <c r="E157" s="1">
        <v>2607</v>
      </c>
      <c r="F157" s="8">
        <v>3</v>
      </c>
      <c r="G157" s="1">
        <v>0.25</v>
      </c>
      <c r="H157" s="1">
        <v>0.35</v>
      </c>
      <c r="I157" s="1">
        <v>0.4</v>
      </c>
      <c r="J157" s="13">
        <f t="shared" si="3"/>
        <v>651.75</v>
      </c>
      <c r="K157" s="14">
        <f>E157-L157-J157</f>
        <v>912.45</v>
      </c>
      <c r="L157" s="14">
        <f>E157*I157</f>
        <v>1042.8</v>
      </c>
      <c r="M157" s="11">
        <f>J157*F157</f>
        <v>1955.25</v>
      </c>
      <c r="N157" s="11">
        <f>K157*F157</f>
        <v>2737.3500000000004</v>
      </c>
      <c r="O157" s="12">
        <f>L157*F157</f>
        <v>3128.3999999999996</v>
      </c>
    </row>
    <row r="158" spans="1:15" x14ac:dyDescent="0.25">
      <c r="A158" s="102">
        <f>IF(Table8[[#This Row],[in-game_name]]&lt;&gt;"",ROW(A157),"")</f>
        <v>157</v>
      </c>
      <c r="B158" s="105" t="s">
        <v>74</v>
      </c>
      <c r="C158" s="92">
        <f>_xlfn.XLOOKUP(B158,Table4[in-game_name],Table4[user_number],"User Not Found")</f>
        <v>14</v>
      </c>
      <c r="D158" s="3">
        <v>44520</v>
      </c>
      <c r="E158" s="1">
        <v>2737</v>
      </c>
      <c r="F158" s="8">
        <v>3.3</v>
      </c>
      <c r="G158" s="1">
        <v>0.2</v>
      </c>
      <c r="H158" s="1">
        <v>0.4</v>
      </c>
      <c r="I158" s="1">
        <v>0.4</v>
      </c>
      <c r="J158" s="13">
        <f t="shared" si="3"/>
        <v>547.4</v>
      </c>
      <c r="K158" s="14">
        <f>E158-L158-J158</f>
        <v>1094.8000000000002</v>
      </c>
      <c r="L158" s="14">
        <f>E158*I158</f>
        <v>1094.8</v>
      </c>
      <c r="M158" s="11">
        <f>J158*F158</f>
        <v>1806.4199999999998</v>
      </c>
      <c r="N158" s="11">
        <f>K158*F158</f>
        <v>3612.8400000000006</v>
      </c>
      <c r="O158" s="12">
        <f>L158*F158</f>
        <v>3612.8399999999997</v>
      </c>
    </row>
    <row r="159" spans="1:15" x14ac:dyDescent="0.25">
      <c r="A159" s="102">
        <f>IF(Table8[[#This Row],[in-game_name]]&lt;&gt;"",ROW(A158),"")</f>
        <v>158</v>
      </c>
      <c r="B159" s="105" t="s">
        <v>90</v>
      </c>
      <c r="C159" s="92">
        <f>_xlfn.XLOOKUP(B159,Table4[in-game_name],Table4[user_number],"User Not Found")</f>
        <v>16</v>
      </c>
      <c r="D159" s="3">
        <v>44521</v>
      </c>
      <c r="E159" s="1">
        <v>1905</v>
      </c>
      <c r="F159" s="8">
        <v>3.2</v>
      </c>
      <c r="G159" s="1">
        <v>0</v>
      </c>
      <c r="H159" s="1">
        <v>0.5</v>
      </c>
      <c r="I159" s="1">
        <v>0.5</v>
      </c>
      <c r="J159" s="13">
        <f t="shared" si="3"/>
        <v>0</v>
      </c>
      <c r="K159" s="14">
        <f>E159-L159-J159</f>
        <v>952.5</v>
      </c>
      <c r="L159" s="14">
        <f>E159*I159</f>
        <v>952.5</v>
      </c>
      <c r="M159" s="11">
        <f>J159*F159</f>
        <v>0</v>
      </c>
      <c r="N159" s="11">
        <f>K159*F159</f>
        <v>3048</v>
      </c>
      <c r="O159" s="12">
        <f>L159*F159</f>
        <v>3048</v>
      </c>
    </row>
    <row r="160" spans="1:15" x14ac:dyDescent="0.25">
      <c r="A160" s="102">
        <f>IF(Table8[[#This Row],[in-game_name]]&lt;&gt;"",ROW(A159),"")</f>
        <v>159</v>
      </c>
      <c r="B160" s="105" t="s">
        <v>38</v>
      </c>
      <c r="C160" s="92">
        <f>_xlfn.XLOOKUP(B160,Table4[in-game_name],Table4[user_number],"User Not Found")</f>
        <v>41</v>
      </c>
      <c r="D160" s="3">
        <v>44521</v>
      </c>
      <c r="E160" s="1">
        <v>2397</v>
      </c>
      <c r="F160" s="8">
        <v>3.2</v>
      </c>
      <c r="G160" s="1">
        <v>0.02</v>
      </c>
      <c r="H160" s="1">
        <v>0.37</v>
      </c>
      <c r="I160" s="1">
        <v>0.61</v>
      </c>
      <c r="J160" s="13">
        <f t="shared" si="3"/>
        <v>47.94</v>
      </c>
      <c r="K160" s="14">
        <f>E160-L160-J160</f>
        <v>886.88999999999987</v>
      </c>
      <c r="L160" s="14">
        <f>E160*I160</f>
        <v>1462.17</v>
      </c>
      <c r="M160" s="11">
        <f>J160*F160</f>
        <v>153.40799999999999</v>
      </c>
      <c r="N160" s="11">
        <f>K160*F160</f>
        <v>2838.0479999999998</v>
      </c>
      <c r="O160" s="12">
        <f>L160*F160</f>
        <v>4678.9440000000004</v>
      </c>
    </row>
    <row r="161" spans="1:15" x14ac:dyDescent="0.25">
      <c r="A161" s="102">
        <f>IF(Table8[[#This Row],[in-game_name]]&lt;&gt;"",ROW(A160),"")</f>
        <v>160</v>
      </c>
      <c r="B161" s="105" t="s">
        <v>28</v>
      </c>
      <c r="C161" s="92">
        <f>_xlfn.XLOOKUP(B161,Table4[in-game_name],Table4[user_number],"User Not Found")</f>
        <v>22</v>
      </c>
      <c r="D161" s="3">
        <v>44521</v>
      </c>
      <c r="E161" s="1">
        <v>2047</v>
      </c>
      <c r="F161" s="8">
        <v>3.2</v>
      </c>
      <c r="G161" s="1">
        <v>0.13</v>
      </c>
      <c r="H161" s="1">
        <v>0.37</v>
      </c>
      <c r="I161" s="1">
        <v>0.5</v>
      </c>
      <c r="J161" s="13">
        <f t="shared" si="3"/>
        <v>266.11</v>
      </c>
      <c r="K161" s="14">
        <f>E161-L161-J161</f>
        <v>757.39</v>
      </c>
      <c r="L161" s="14">
        <f>E161*I161</f>
        <v>1023.5</v>
      </c>
      <c r="M161" s="11">
        <f>J161*F161</f>
        <v>851.55200000000013</v>
      </c>
      <c r="N161" s="11">
        <f>K161*F161</f>
        <v>2423.6480000000001</v>
      </c>
      <c r="O161" s="12">
        <f>L161*F161</f>
        <v>3275.2000000000003</v>
      </c>
    </row>
    <row r="162" spans="1:15" x14ac:dyDescent="0.25">
      <c r="A162" s="102">
        <f>IF(Table8[[#This Row],[in-game_name]]&lt;&gt;"",ROW(A161),"")</f>
        <v>161</v>
      </c>
      <c r="B162" s="105" t="s">
        <v>71</v>
      </c>
      <c r="C162" s="92">
        <f>_xlfn.XLOOKUP(B162,Table4[in-game_name],Table4[user_number],"User Not Found")</f>
        <v>30</v>
      </c>
      <c r="D162" s="3">
        <v>44521</v>
      </c>
      <c r="E162" s="1">
        <v>1921</v>
      </c>
      <c r="F162" s="8">
        <v>3.2</v>
      </c>
      <c r="G162" s="1">
        <v>0.13</v>
      </c>
      <c r="H162" s="1">
        <v>0.37</v>
      </c>
      <c r="I162" s="1">
        <v>0.5</v>
      </c>
      <c r="J162" s="13">
        <f t="shared" si="3"/>
        <v>249.73000000000002</v>
      </c>
      <c r="K162" s="14">
        <f>E162-L162-J162</f>
        <v>710.77</v>
      </c>
      <c r="L162" s="14">
        <f>E162*I162</f>
        <v>960.5</v>
      </c>
      <c r="M162" s="11">
        <f>J162*F162</f>
        <v>799.13600000000008</v>
      </c>
      <c r="N162" s="11">
        <f>K162*F162</f>
        <v>2274.4639999999999</v>
      </c>
      <c r="O162" s="12">
        <f>L162*F162</f>
        <v>3073.6000000000004</v>
      </c>
    </row>
    <row r="163" spans="1:15" x14ac:dyDescent="0.25">
      <c r="A163" s="102">
        <f>IF(Table8[[#This Row],[in-game_name]]&lt;&gt;"",ROW(A162),"")</f>
        <v>162</v>
      </c>
      <c r="B163" s="105" t="s">
        <v>91</v>
      </c>
      <c r="C163" s="92">
        <f>_xlfn.XLOOKUP(B163,Table4[in-game_name],Table4[user_number],"User Not Found")</f>
        <v>33</v>
      </c>
      <c r="D163" s="3">
        <v>44521</v>
      </c>
      <c r="E163" s="1">
        <v>1931</v>
      </c>
      <c r="F163" s="8">
        <v>3.2</v>
      </c>
      <c r="G163" s="1">
        <v>0.13</v>
      </c>
      <c r="H163" s="1">
        <v>0.37</v>
      </c>
      <c r="I163" s="1">
        <v>0.5</v>
      </c>
      <c r="J163" s="13">
        <f t="shared" si="3"/>
        <v>251.03</v>
      </c>
      <c r="K163" s="14">
        <f>E163-L163-J163</f>
        <v>714.47</v>
      </c>
      <c r="L163" s="14">
        <f>E163*I163</f>
        <v>965.5</v>
      </c>
      <c r="M163" s="11">
        <f>J163*F163</f>
        <v>803.29600000000005</v>
      </c>
      <c r="N163" s="11">
        <f>K163*F163</f>
        <v>2286.3040000000001</v>
      </c>
      <c r="O163" s="12">
        <f>L163*F163</f>
        <v>3089.6000000000004</v>
      </c>
    </row>
    <row r="164" spans="1:15" x14ac:dyDescent="0.25">
      <c r="A164" s="102">
        <f>IF(Table8[[#This Row],[in-game_name]]&lt;&gt;"",ROW(A163),"")</f>
        <v>163</v>
      </c>
      <c r="B164" s="105" t="s">
        <v>37</v>
      </c>
      <c r="C164" s="92">
        <f>_xlfn.XLOOKUP(B164,Table4[in-game_name],Table4[user_number],"User Not Found")</f>
        <v>24</v>
      </c>
      <c r="D164" s="3">
        <v>44521</v>
      </c>
      <c r="E164" s="1">
        <v>1738</v>
      </c>
      <c r="F164" s="8">
        <v>3.2</v>
      </c>
      <c r="G164" s="1">
        <v>0.13</v>
      </c>
      <c r="H164" s="1">
        <v>0.37</v>
      </c>
      <c r="I164" s="1">
        <v>0.5</v>
      </c>
      <c r="J164" s="13">
        <f t="shared" si="3"/>
        <v>225.94</v>
      </c>
      <c r="K164" s="14">
        <f>E164-L164-J164</f>
        <v>643.05999999999995</v>
      </c>
      <c r="L164" s="14">
        <f>E164*I164</f>
        <v>869</v>
      </c>
      <c r="M164" s="11">
        <f>J164*F164</f>
        <v>723.00800000000004</v>
      </c>
      <c r="N164" s="11">
        <f>K164*F164</f>
        <v>2057.7919999999999</v>
      </c>
      <c r="O164" s="12">
        <f>L164*F164</f>
        <v>2780.8</v>
      </c>
    </row>
    <row r="165" spans="1:15" x14ac:dyDescent="0.25">
      <c r="A165" s="102">
        <f>IF(Table8[[#This Row],[in-game_name]]&lt;&gt;"",ROW(A164),"")</f>
        <v>164</v>
      </c>
      <c r="B165" s="105" t="s">
        <v>47</v>
      </c>
      <c r="C165" s="92">
        <f>_xlfn.XLOOKUP(B165,Table4[in-game_name],Table4[user_number],"User Not Found")</f>
        <v>26</v>
      </c>
      <c r="D165" s="3">
        <v>44521</v>
      </c>
      <c r="E165" s="1">
        <v>2229</v>
      </c>
      <c r="F165" s="8">
        <v>3.2</v>
      </c>
      <c r="G165" s="1">
        <v>0.13</v>
      </c>
      <c r="H165" s="1">
        <v>0.37</v>
      </c>
      <c r="I165" s="1">
        <v>0.5</v>
      </c>
      <c r="J165" s="13">
        <f t="shared" si="3"/>
        <v>289.77</v>
      </c>
      <c r="K165" s="14">
        <f>E165-L165-J165</f>
        <v>824.73</v>
      </c>
      <c r="L165" s="14">
        <f>E165*I165</f>
        <v>1114.5</v>
      </c>
      <c r="M165" s="11">
        <f>J165*F165</f>
        <v>927.26400000000001</v>
      </c>
      <c r="N165" s="11">
        <f>K165*F165</f>
        <v>2639.1360000000004</v>
      </c>
      <c r="O165" s="12">
        <f>L165*F165</f>
        <v>3566.4</v>
      </c>
    </row>
    <row r="166" spans="1:15" x14ac:dyDescent="0.25">
      <c r="A166" s="102">
        <f>IF(Table8[[#This Row],[in-game_name]]&lt;&gt;"",ROW(A165),"")</f>
        <v>165</v>
      </c>
      <c r="B166" s="105" t="s">
        <v>29</v>
      </c>
      <c r="C166" s="92">
        <f>_xlfn.XLOOKUP(B166,Table4[in-game_name],Table4[user_number],"User Not Found")</f>
        <v>39</v>
      </c>
      <c r="D166" s="3">
        <v>44521</v>
      </c>
      <c r="E166" s="1">
        <v>1791</v>
      </c>
      <c r="F166" s="8">
        <v>3.2</v>
      </c>
      <c r="G166" s="1">
        <v>0.13</v>
      </c>
      <c r="H166" s="1">
        <v>0.37</v>
      </c>
      <c r="I166" s="1">
        <v>0.5</v>
      </c>
      <c r="J166" s="13">
        <f t="shared" si="3"/>
        <v>232.83</v>
      </c>
      <c r="K166" s="14">
        <f>E166-L166-J166</f>
        <v>662.67</v>
      </c>
      <c r="L166" s="14">
        <f>E166*I166</f>
        <v>895.5</v>
      </c>
      <c r="M166" s="11">
        <f>J166*F166</f>
        <v>745.05600000000004</v>
      </c>
      <c r="N166" s="11">
        <f>K166*F166</f>
        <v>2120.5439999999999</v>
      </c>
      <c r="O166" s="12">
        <f>L166*F166</f>
        <v>2865.6000000000004</v>
      </c>
    </row>
    <row r="167" spans="1:15" x14ac:dyDescent="0.25">
      <c r="A167" s="102">
        <f>IF(Table8[[#This Row],[in-game_name]]&lt;&gt;"",ROW(A166),"")</f>
        <v>166</v>
      </c>
      <c r="B167" s="105" t="s">
        <v>48</v>
      </c>
      <c r="C167" s="92">
        <f>_xlfn.XLOOKUP(B167,Table4[in-game_name],Table4[user_number],"User Not Found")</f>
        <v>43</v>
      </c>
      <c r="D167" s="3">
        <v>44521</v>
      </c>
      <c r="E167" s="1">
        <v>1844</v>
      </c>
      <c r="F167" s="8">
        <v>3.2</v>
      </c>
      <c r="G167" s="1">
        <v>0.05</v>
      </c>
      <c r="H167" s="1">
        <v>0.35</v>
      </c>
      <c r="I167" s="1">
        <v>0.6</v>
      </c>
      <c r="J167" s="13">
        <f t="shared" si="3"/>
        <v>92.2</v>
      </c>
      <c r="K167" s="14">
        <f>E167-L167-J167</f>
        <v>645.40000000000009</v>
      </c>
      <c r="L167" s="14">
        <f>E167*I167</f>
        <v>1106.3999999999999</v>
      </c>
      <c r="M167" s="11">
        <f>J167*F167</f>
        <v>295.04000000000002</v>
      </c>
      <c r="N167" s="11">
        <f>K167*F167</f>
        <v>2065.2800000000002</v>
      </c>
      <c r="O167" s="12">
        <f>L167*F167</f>
        <v>3540.4799999999996</v>
      </c>
    </row>
    <row r="168" spans="1:15" x14ac:dyDescent="0.25">
      <c r="A168" s="102">
        <f>IF(Table8[[#This Row],[in-game_name]]&lt;&gt;"",ROW(A167),"")</f>
        <v>167</v>
      </c>
      <c r="B168" s="105" t="s">
        <v>92</v>
      </c>
      <c r="C168" s="92">
        <f>_xlfn.XLOOKUP(B168,Table4[in-game_name],Table4[user_number],"User Not Found")</f>
        <v>17</v>
      </c>
      <c r="D168" s="3">
        <v>44521</v>
      </c>
      <c r="E168" s="1">
        <v>1665</v>
      </c>
      <c r="F168" s="8">
        <v>3.2</v>
      </c>
      <c r="G168" s="1">
        <v>0.13</v>
      </c>
      <c r="H168" s="1">
        <v>0.37</v>
      </c>
      <c r="I168" s="1">
        <v>0.5</v>
      </c>
      <c r="J168" s="13">
        <f t="shared" si="3"/>
        <v>216.45000000000002</v>
      </c>
      <c r="K168" s="14">
        <f>E168-L168-J168</f>
        <v>616.04999999999995</v>
      </c>
      <c r="L168" s="14">
        <f>E168*I168</f>
        <v>832.5</v>
      </c>
      <c r="M168" s="11">
        <f>J168*F168</f>
        <v>692.6400000000001</v>
      </c>
      <c r="N168" s="11">
        <f>K168*F168</f>
        <v>1971.36</v>
      </c>
      <c r="O168" s="12">
        <f>L168*F168</f>
        <v>2664</v>
      </c>
    </row>
    <row r="169" spans="1:15" x14ac:dyDescent="0.25">
      <c r="A169" s="102">
        <f>IF(Table8[[#This Row],[in-game_name]]&lt;&gt;"",ROW(A168),"")</f>
        <v>168</v>
      </c>
      <c r="B169" s="105" t="s">
        <v>80</v>
      </c>
      <c r="C169" s="92">
        <f>_xlfn.XLOOKUP(B169,Table4[in-game_name],Table4[user_number],"User Not Found")</f>
        <v>49</v>
      </c>
      <c r="D169" s="3">
        <v>44521</v>
      </c>
      <c r="E169" s="1">
        <v>2039</v>
      </c>
      <c r="F169" s="8">
        <v>3.2</v>
      </c>
      <c r="G169" s="1">
        <v>0.13</v>
      </c>
      <c r="H169" s="1">
        <v>0.37</v>
      </c>
      <c r="I169" s="1">
        <v>0.5</v>
      </c>
      <c r="J169" s="13">
        <f t="shared" si="3"/>
        <v>265.07</v>
      </c>
      <c r="K169" s="14">
        <f>E169-L169-J169</f>
        <v>754.43000000000006</v>
      </c>
      <c r="L169" s="14">
        <f>E169*I169</f>
        <v>1019.5</v>
      </c>
      <c r="M169" s="11">
        <f>J169*F169</f>
        <v>848.22400000000005</v>
      </c>
      <c r="N169" s="11">
        <f>K169*F169</f>
        <v>2414.1760000000004</v>
      </c>
      <c r="O169" s="12">
        <f>L169*F169</f>
        <v>3262.4</v>
      </c>
    </row>
    <row r="170" spans="1:15" x14ac:dyDescent="0.25">
      <c r="A170" s="102">
        <f>IF(Table8[[#This Row],[in-game_name]]&lt;&gt;"",ROW(A169),"")</f>
        <v>169</v>
      </c>
      <c r="B170" s="105" t="s">
        <v>43</v>
      </c>
      <c r="C170" s="92">
        <f>_xlfn.XLOOKUP(B170,Table4[in-game_name],Table4[user_number],"User Not Found")</f>
        <v>42</v>
      </c>
      <c r="D170" s="3">
        <v>44521</v>
      </c>
      <c r="E170" s="1">
        <v>2142</v>
      </c>
      <c r="F170" s="8">
        <v>3.13</v>
      </c>
      <c r="G170" s="1">
        <v>0.08</v>
      </c>
      <c r="H170" s="1">
        <v>0.42019000000000001</v>
      </c>
      <c r="I170" s="1">
        <v>0.49981000000000003</v>
      </c>
      <c r="J170" s="13">
        <f t="shared" si="3"/>
        <v>171.36</v>
      </c>
      <c r="K170" s="14">
        <f>E170-L170-J170</f>
        <v>900.04697999999996</v>
      </c>
      <c r="L170" s="14">
        <f>E170*I170</f>
        <v>1070.59302</v>
      </c>
      <c r="M170" s="11">
        <f>J170*F170</f>
        <v>536.35680000000002</v>
      </c>
      <c r="N170" s="11">
        <f>K170*F170</f>
        <v>2817.1470473999998</v>
      </c>
      <c r="O170" s="12">
        <f>L170*F170</f>
        <v>3350.9561525999998</v>
      </c>
    </row>
    <row r="171" spans="1:15" x14ac:dyDescent="0.25">
      <c r="A171" s="102">
        <f>IF(Table8[[#This Row],[in-game_name]]&lt;&gt;"",ROW(A170),"")</f>
        <v>170</v>
      </c>
      <c r="B171" s="105" t="s">
        <v>72</v>
      </c>
      <c r="C171" s="92">
        <f>_xlfn.XLOOKUP(B171,Table4[in-game_name],Table4[user_number],"User Not Found")</f>
        <v>47</v>
      </c>
      <c r="D171" s="3">
        <v>44521</v>
      </c>
      <c r="E171" s="1">
        <v>662</v>
      </c>
      <c r="F171" s="8">
        <v>3</v>
      </c>
      <c r="G171" s="1">
        <v>0.1</v>
      </c>
      <c r="H171" s="1">
        <v>0.4</v>
      </c>
      <c r="I171" s="1">
        <v>0.5</v>
      </c>
      <c r="J171" s="13">
        <f t="shared" si="3"/>
        <v>66.2</v>
      </c>
      <c r="K171" s="14">
        <f>E171-L171-J171</f>
        <v>264.8</v>
      </c>
      <c r="L171" s="14">
        <f>E171*I171</f>
        <v>331</v>
      </c>
      <c r="M171" s="11">
        <f>J171*F171</f>
        <v>198.60000000000002</v>
      </c>
      <c r="N171" s="11">
        <f>K171*F171</f>
        <v>794.40000000000009</v>
      </c>
      <c r="O171" s="12">
        <f>L171*F171</f>
        <v>993</v>
      </c>
    </row>
    <row r="172" spans="1:15" x14ac:dyDescent="0.25">
      <c r="A172" s="102">
        <f>IF(Table8[[#This Row],[in-game_name]]&lt;&gt;"",ROW(A171),"")</f>
        <v>171</v>
      </c>
      <c r="B172" s="105" t="s">
        <v>5</v>
      </c>
      <c r="C172" s="92">
        <f>_xlfn.XLOOKUP(B172,Table4[in-game_name],Table4[user_number],"User Not Found")</f>
        <v>1</v>
      </c>
      <c r="D172" s="3">
        <v>44524</v>
      </c>
      <c r="E172" s="1">
        <v>6328</v>
      </c>
      <c r="F172" s="8">
        <v>3.2</v>
      </c>
      <c r="G172" s="1">
        <v>0</v>
      </c>
      <c r="H172" s="1">
        <v>1</v>
      </c>
      <c r="I172" s="1">
        <v>0</v>
      </c>
      <c r="J172" s="13">
        <f t="shared" si="3"/>
        <v>0</v>
      </c>
      <c r="K172" s="14">
        <f>E172-L172-J172</f>
        <v>6328</v>
      </c>
      <c r="L172" s="14">
        <f>E172*I172</f>
        <v>0</v>
      </c>
      <c r="M172" s="11">
        <f>J172*F172</f>
        <v>0</v>
      </c>
      <c r="N172" s="11">
        <f>K172*F172</f>
        <v>20249.600000000002</v>
      </c>
      <c r="O172" s="12">
        <f>L172*F172</f>
        <v>0</v>
      </c>
    </row>
    <row r="173" spans="1:15" x14ac:dyDescent="0.25">
      <c r="A173" s="102">
        <f>IF(Table8[[#This Row],[in-game_name]]&lt;&gt;"",ROW(A172),"")</f>
        <v>172</v>
      </c>
      <c r="B173" s="105" t="s">
        <v>38</v>
      </c>
      <c r="C173" s="92">
        <f>_xlfn.XLOOKUP(B173,Table4[in-game_name],Table4[user_number],"User Not Found")</f>
        <v>41</v>
      </c>
      <c r="D173" s="3">
        <v>44524</v>
      </c>
      <c r="E173" s="1">
        <v>1789</v>
      </c>
      <c r="F173" s="8">
        <v>3.5</v>
      </c>
      <c r="G173" s="1">
        <v>0.05</v>
      </c>
      <c r="H173" s="1">
        <v>0.35</v>
      </c>
      <c r="I173" s="1">
        <v>0.6</v>
      </c>
      <c r="J173" s="13">
        <f t="shared" si="3"/>
        <v>89.45</v>
      </c>
      <c r="K173" s="14">
        <f>E173-L173-J173</f>
        <v>626.15000000000009</v>
      </c>
      <c r="L173" s="14">
        <f>E173*I173</f>
        <v>1073.3999999999999</v>
      </c>
      <c r="M173" s="11">
        <f>J173*F173</f>
        <v>313.07499999999999</v>
      </c>
      <c r="N173" s="11">
        <f>K173*F173</f>
        <v>2191.5250000000005</v>
      </c>
      <c r="O173" s="12">
        <f>L173*F173</f>
        <v>3756.8999999999996</v>
      </c>
    </row>
    <row r="174" spans="1:15" x14ac:dyDescent="0.25">
      <c r="A174" s="102">
        <f>IF(Table8[[#This Row],[in-game_name]]&lt;&gt;"",ROW(A173),"")</f>
        <v>173</v>
      </c>
      <c r="B174" s="105" t="s">
        <v>90</v>
      </c>
      <c r="C174" s="92">
        <f>_xlfn.XLOOKUP(B174,Table4[in-game_name],Table4[user_number],"User Not Found")</f>
        <v>16</v>
      </c>
      <c r="D174" s="3">
        <v>44525</v>
      </c>
      <c r="E174" s="1">
        <v>2140</v>
      </c>
      <c r="F174" s="8">
        <v>3.76</v>
      </c>
      <c r="G174" s="1">
        <v>0</v>
      </c>
      <c r="H174" s="1">
        <v>0.5</v>
      </c>
      <c r="I174" s="1">
        <v>0.5</v>
      </c>
      <c r="J174" s="13">
        <f t="shared" si="3"/>
        <v>0</v>
      </c>
      <c r="K174" s="14">
        <f>E174-L174-J174</f>
        <v>1070</v>
      </c>
      <c r="L174" s="14">
        <f>E174*I174</f>
        <v>1070</v>
      </c>
      <c r="M174" s="11">
        <f>J174*F174</f>
        <v>0</v>
      </c>
      <c r="N174" s="11">
        <f>K174*F174</f>
        <v>4023.2</v>
      </c>
      <c r="O174" s="12">
        <f>L174*F174</f>
        <v>4023.2</v>
      </c>
    </row>
    <row r="175" spans="1:15" x14ac:dyDescent="0.25">
      <c r="A175" s="102">
        <f>IF(Table8[[#This Row],[in-game_name]]&lt;&gt;"",ROW(A174),"")</f>
        <v>174</v>
      </c>
      <c r="B175" s="105" t="s">
        <v>43</v>
      </c>
      <c r="C175" s="92">
        <f>_xlfn.XLOOKUP(B175,Table4[in-game_name],Table4[user_number],"User Not Found")</f>
        <v>42</v>
      </c>
      <c r="D175" s="3">
        <v>44525</v>
      </c>
      <c r="E175" s="1">
        <v>1222</v>
      </c>
      <c r="F175" s="8">
        <v>3.76</v>
      </c>
      <c r="G175" s="1">
        <v>0.1</v>
      </c>
      <c r="H175" s="1">
        <v>0.4</v>
      </c>
      <c r="I175" s="1">
        <v>0.5</v>
      </c>
      <c r="J175" s="13">
        <f t="shared" si="3"/>
        <v>122.2</v>
      </c>
      <c r="K175" s="14">
        <f>E175-L175-J175</f>
        <v>488.8</v>
      </c>
      <c r="L175" s="14">
        <f>E175*I175</f>
        <v>611</v>
      </c>
      <c r="M175" s="11">
        <f>J175*F175</f>
        <v>459.47199999999998</v>
      </c>
      <c r="N175" s="11">
        <f>K175*F175</f>
        <v>1837.8879999999999</v>
      </c>
      <c r="O175" s="12">
        <f>L175*F175</f>
        <v>2297.3599999999997</v>
      </c>
    </row>
    <row r="176" spans="1:15" x14ac:dyDescent="0.25">
      <c r="A176" s="102">
        <f>IF(Table8[[#This Row],[in-game_name]]&lt;&gt;"",ROW(A175),"")</f>
        <v>175</v>
      </c>
      <c r="B176" s="105" t="s">
        <v>56</v>
      </c>
      <c r="C176" s="92">
        <f>_xlfn.XLOOKUP(B176,Table4[in-game_name],Table4[user_number],"User Not Found")</f>
        <v>28</v>
      </c>
      <c r="D176" s="3">
        <v>44526</v>
      </c>
      <c r="E176" s="1">
        <v>2453</v>
      </c>
      <c r="F176" s="8">
        <v>3.38</v>
      </c>
      <c r="G176" s="1">
        <v>0.05</v>
      </c>
      <c r="H176" s="1">
        <v>0.35</v>
      </c>
      <c r="I176" s="1">
        <v>0.6</v>
      </c>
      <c r="J176" s="13">
        <f t="shared" si="3"/>
        <v>122.65</v>
      </c>
      <c r="K176" s="14">
        <f>E176-L176-J176</f>
        <v>858.55000000000007</v>
      </c>
      <c r="L176" s="14">
        <f>E176*I176</f>
        <v>1471.8</v>
      </c>
      <c r="M176" s="11">
        <f>J176*F176</f>
        <v>414.55700000000002</v>
      </c>
      <c r="N176" s="11">
        <f>K176*F176</f>
        <v>2901.8990000000003</v>
      </c>
      <c r="O176" s="12">
        <f>L176*F176</f>
        <v>4974.6839999999993</v>
      </c>
    </row>
    <row r="177" spans="1:15" x14ac:dyDescent="0.25">
      <c r="A177" s="102">
        <f>IF(Table8[[#This Row],[in-game_name]]&lt;&gt;"",ROW(A176),"")</f>
        <v>176</v>
      </c>
      <c r="B177" s="105" t="s">
        <v>71</v>
      </c>
      <c r="C177" s="92">
        <f>_xlfn.XLOOKUP(B177,Table4[in-game_name],Table4[user_number],"User Not Found")</f>
        <v>30</v>
      </c>
      <c r="D177" s="3">
        <v>44526</v>
      </c>
      <c r="E177" s="1">
        <v>2337</v>
      </c>
      <c r="F177" s="8">
        <v>3.38</v>
      </c>
      <c r="G177" s="1">
        <v>0.05</v>
      </c>
      <c r="H177" s="1">
        <v>0.35</v>
      </c>
      <c r="I177" s="1">
        <v>0.6</v>
      </c>
      <c r="J177" s="13">
        <f t="shared" si="3"/>
        <v>116.85000000000001</v>
      </c>
      <c r="K177" s="14">
        <f>E177-L177-J177</f>
        <v>817.94999999999993</v>
      </c>
      <c r="L177" s="14">
        <f>E177*I177</f>
        <v>1402.2</v>
      </c>
      <c r="M177" s="11">
        <f>J177*F177</f>
        <v>394.95300000000003</v>
      </c>
      <c r="N177" s="11">
        <f>K177*F177</f>
        <v>2764.6709999999998</v>
      </c>
      <c r="O177" s="12">
        <f>L177*F177</f>
        <v>4739.4359999999997</v>
      </c>
    </row>
    <row r="178" spans="1:15" x14ac:dyDescent="0.25">
      <c r="A178" s="102">
        <f>IF(Table8[[#This Row],[in-game_name]]&lt;&gt;"",ROW(A177),"")</f>
        <v>177</v>
      </c>
      <c r="B178" s="105" t="s">
        <v>91</v>
      </c>
      <c r="C178" s="92">
        <f>_xlfn.XLOOKUP(B178,Table4[in-game_name],Table4[user_number],"User Not Found")</f>
        <v>33</v>
      </c>
      <c r="D178" s="3">
        <v>44526</v>
      </c>
      <c r="E178" s="1">
        <v>2457</v>
      </c>
      <c r="F178" s="8">
        <v>3.38</v>
      </c>
      <c r="G178" s="1">
        <v>0.05</v>
      </c>
      <c r="H178" s="1">
        <v>0.35</v>
      </c>
      <c r="I178" s="1">
        <v>0.6</v>
      </c>
      <c r="J178" s="13">
        <f t="shared" si="3"/>
        <v>122.85000000000001</v>
      </c>
      <c r="K178" s="14">
        <f>E178-L178-J178</f>
        <v>859.94999999999993</v>
      </c>
      <c r="L178" s="14">
        <f>E178*I178</f>
        <v>1474.2</v>
      </c>
      <c r="M178" s="11">
        <f>J178*F178</f>
        <v>415.233</v>
      </c>
      <c r="N178" s="11">
        <f>K178*F178</f>
        <v>2906.6309999999999</v>
      </c>
      <c r="O178" s="12">
        <f>L178*F178</f>
        <v>4982.7960000000003</v>
      </c>
    </row>
    <row r="179" spans="1:15" x14ac:dyDescent="0.25">
      <c r="A179" s="102">
        <f>IF(Table8[[#This Row],[in-game_name]]&lt;&gt;"",ROW(A178),"")</f>
        <v>178</v>
      </c>
      <c r="B179" s="105" t="s">
        <v>47</v>
      </c>
      <c r="C179" s="92">
        <f>_xlfn.XLOOKUP(B179,Table4[in-game_name],Table4[user_number],"User Not Found")</f>
        <v>26</v>
      </c>
      <c r="D179" s="3">
        <v>44526</v>
      </c>
      <c r="E179" s="1">
        <v>3281</v>
      </c>
      <c r="F179" s="8">
        <v>3.38</v>
      </c>
      <c r="G179" s="1">
        <v>0.05</v>
      </c>
      <c r="H179" s="1">
        <v>0.35</v>
      </c>
      <c r="I179" s="1">
        <v>0.6</v>
      </c>
      <c r="J179" s="13">
        <f t="shared" si="3"/>
        <v>164.05</v>
      </c>
      <c r="K179" s="14">
        <f>E179-L179-J179</f>
        <v>1148.3500000000001</v>
      </c>
      <c r="L179" s="14">
        <f>E179*I179</f>
        <v>1968.6</v>
      </c>
      <c r="M179" s="11">
        <f>J179*F179</f>
        <v>554.48900000000003</v>
      </c>
      <c r="N179" s="11">
        <f>K179*F179</f>
        <v>3881.4230000000002</v>
      </c>
      <c r="O179" s="12">
        <f>L179*F179</f>
        <v>6653.8679999999995</v>
      </c>
    </row>
    <row r="180" spans="1:15" x14ac:dyDescent="0.25">
      <c r="A180" s="102">
        <f>IF(Table8[[#This Row],[in-game_name]]&lt;&gt;"",ROW(A179),"")</f>
        <v>179</v>
      </c>
      <c r="B180" s="105" t="s">
        <v>29</v>
      </c>
      <c r="C180" s="92">
        <f>_xlfn.XLOOKUP(B180,Table4[in-game_name],Table4[user_number],"User Not Found")</f>
        <v>39</v>
      </c>
      <c r="D180" s="3">
        <v>44526</v>
      </c>
      <c r="E180" s="1">
        <v>1862</v>
      </c>
      <c r="F180" s="8">
        <v>3.38</v>
      </c>
      <c r="G180" s="1">
        <v>0.05</v>
      </c>
      <c r="H180" s="1">
        <v>0.35</v>
      </c>
      <c r="I180" s="1">
        <v>0.6</v>
      </c>
      <c r="J180" s="13">
        <f t="shared" si="3"/>
        <v>93.100000000000009</v>
      </c>
      <c r="K180" s="14">
        <f>E180-L180-J180</f>
        <v>651.69999999999993</v>
      </c>
      <c r="L180" s="14">
        <f>E180*I180</f>
        <v>1117.2</v>
      </c>
      <c r="M180" s="11">
        <f>J180*F180</f>
        <v>314.678</v>
      </c>
      <c r="N180" s="11">
        <f>K180*F180</f>
        <v>2202.7459999999996</v>
      </c>
      <c r="O180" s="12">
        <f>L180*F180</f>
        <v>3776.136</v>
      </c>
    </row>
    <row r="181" spans="1:15" x14ac:dyDescent="0.25">
      <c r="A181" s="102">
        <f>IF(Table8[[#This Row],[in-game_name]]&lt;&gt;"",ROW(A180),"")</f>
        <v>180</v>
      </c>
      <c r="B181" s="105" t="s">
        <v>92</v>
      </c>
      <c r="C181" s="92">
        <f>_xlfn.XLOOKUP(B181,Table4[in-game_name],Table4[user_number],"User Not Found")</f>
        <v>17</v>
      </c>
      <c r="D181" s="3">
        <v>44526</v>
      </c>
      <c r="E181" s="1">
        <v>1879</v>
      </c>
      <c r="F181" s="8">
        <v>3.38</v>
      </c>
      <c r="G181" s="1">
        <v>0.05</v>
      </c>
      <c r="H181" s="1">
        <v>0.35</v>
      </c>
      <c r="I181" s="1">
        <v>0.6</v>
      </c>
      <c r="J181" s="13">
        <f t="shared" si="3"/>
        <v>93.95</v>
      </c>
      <c r="K181" s="14">
        <f>E181-L181-J181</f>
        <v>657.65000000000009</v>
      </c>
      <c r="L181" s="14">
        <f>E181*I181</f>
        <v>1127.3999999999999</v>
      </c>
      <c r="M181" s="11">
        <f>J181*F181</f>
        <v>317.55099999999999</v>
      </c>
      <c r="N181" s="11">
        <f>K181*F181</f>
        <v>2222.8570000000004</v>
      </c>
      <c r="O181" s="12">
        <f>L181*F181</f>
        <v>3810.6119999999996</v>
      </c>
    </row>
    <row r="182" spans="1:15" x14ac:dyDescent="0.25">
      <c r="A182" s="102">
        <f>IF(Table8[[#This Row],[in-game_name]]&lt;&gt;"",ROW(A181),"")</f>
        <v>181</v>
      </c>
      <c r="B182" s="105" t="s">
        <v>80</v>
      </c>
      <c r="C182" s="92">
        <f>_xlfn.XLOOKUP(B182,Table4[in-game_name],Table4[user_number],"User Not Found")</f>
        <v>49</v>
      </c>
      <c r="D182" s="3">
        <v>44526</v>
      </c>
      <c r="E182" s="1">
        <v>2393</v>
      </c>
      <c r="F182" s="8">
        <v>3.38</v>
      </c>
      <c r="G182" s="1">
        <v>0.05</v>
      </c>
      <c r="H182" s="1">
        <v>0.35</v>
      </c>
      <c r="I182" s="1">
        <v>0.6</v>
      </c>
      <c r="J182" s="13">
        <f t="shared" si="3"/>
        <v>119.65</v>
      </c>
      <c r="K182" s="14">
        <f>E182-L182-J182</f>
        <v>837.55000000000007</v>
      </c>
      <c r="L182" s="14">
        <f>E182*I182</f>
        <v>1435.8</v>
      </c>
      <c r="M182" s="11">
        <f>J182*F182</f>
        <v>404.41700000000003</v>
      </c>
      <c r="N182" s="11">
        <f>K182*F182</f>
        <v>2830.9190000000003</v>
      </c>
      <c r="O182" s="12">
        <f>L182*F182</f>
        <v>4853.0039999999999</v>
      </c>
    </row>
    <row r="183" spans="1:15" x14ac:dyDescent="0.25">
      <c r="A183" s="102">
        <f>IF(Table8[[#This Row],[in-game_name]]&lt;&gt;"",ROW(A182),"")</f>
        <v>182</v>
      </c>
      <c r="B183" s="105" t="s">
        <v>57</v>
      </c>
      <c r="C183" s="92">
        <f>_xlfn.XLOOKUP(B183,Table4[in-game_name],Table4[user_number],"User Not Found")</f>
        <v>45</v>
      </c>
      <c r="D183" s="3">
        <v>44526</v>
      </c>
      <c r="E183" s="1">
        <v>2209</v>
      </c>
      <c r="F183" s="8">
        <v>3.38</v>
      </c>
      <c r="G183" s="1">
        <v>0.05</v>
      </c>
      <c r="H183" s="1">
        <v>0.35</v>
      </c>
      <c r="I183" s="1">
        <v>0.6</v>
      </c>
      <c r="J183" s="13">
        <f t="shared" si="3"/>
        <v>110.45</v>
      </c>
      <c r="K183" s="14">
        <f>E183-L183-J183</f>
        <v>773.15000000000009</v>
      </c>
      <c r="L183" s="14">
        <f>E183*I183</f>
        <v>1325.3999999999999</v>
      </c>
      <c r="M183" s="11">
        <f>J183*F183</f>
        <v>373.32099999999997</v>
      </c>
      <c r="N183" s="11">
        <f>K183*F183</f>
        <v>2613.2470000000003</v>
      </c>
      <c r="O183" s="12">
        <f>L183*F183</f>
        <v>4479.851999999999</v>
      </c>
    </row>
    <row r="184" spans="1:15" x14ac:dyDescent="0.25">
      <c r="A184" s="102">
        <f>IF(Table8[[#This Row],[in-game_name]]&lt;&gt;"",ROW(A183),"")</f>
        <v>183</v>
      </c>
      <c r="B184" s="105" t="s">
        <v>70</v>
      </c>
      <c r="C184" s="92">
        <f>_xlfn.XLOOKUP(B184,Table4[in-game_name],Table4[user_number],"User Not Found")</f>
        <v>13</v>
      </c>
      <c r="D184" s="3">
        <v>44527</v>
      </c>
      <c r="E184" s="1">
        <v>1188</v>
      </c>
      <c r="F184" s="8">
        <v>3</v>
      </c>
      <c r="G184" s="1">
        <v>0.05</v>
      </c>
      <c r="H184" s="1">
        <v>0.35</v>
      </c>
      <c r="I184" s="1">
        <v>0.6</v>
      </c>
      <c r="J184" s="13">
        <f t="shared" si="3"/>
        <v>59.400000000000006</v>
      </c>
      <c r="K184" s="14">
        <f>E184-L184-J184</f>
        <v>415.80000000000007</v>
      </c>
      <c r="L184" s="14">
        <f>E184*I184</f>
        <v>712.8</v>
      </c>
      <c r="M184" s="11">
        <f>J184*F184</f>
        <v>178.20000000000002</v>
      </c>
      <c r="N184" s="11">
        <f>K184*F184</f>
        <v>1247.4000000000001</v>
      </c>
      <c r="O184" s="12">
        <f>L184*F184</f>
        <v>2138.3999999999996</v>
      </c>
    </row>
    <row r="185" spans="1:15" x14ac:dyDescent="0.25">
      <c r="A185" s="102">
        <f>IF(Table8[[#This Row],[in-game_name]]&lt;&gt;"",ROW(A184),"")</f>
        <v>184</v>
      </c>
      <c r="B185" s="105" t="s">
        <v>19</v>
      </c>
      <c r="C185" s="92">
        <f>_xlfn.XLOOKUP(B185,Table4[in-game_name],Table4[user_number],"User Not Found")</f>
        <v>37</v>
      </c>
      <c r="D185" s="3">
        <v>44529</v>
      </c>
      <c r="E185" s="1">
        <v>2390</v>
      </c>
      <c r="F185" s="8">
        <v>3</v>
      </c>
      <c r="G185" s="1">
        <v>0.12</v>
      </c>
      <c r="H185" s="1">
        <v>0.4</v>
      </c>
      <c r="I185" s="1">
        <v>0.48</v>
      </c>
      <c r="J185" s="13">
        <f t="shared" si="3"/>
        <v>286.8</v>
      </c>
      <c r="K185" s="14">
        <f>E185-L185-J185</f>
        <v>956</v>
      </c>
      <c r="L185" s="14">
        <f>E185*I185</f>
        <v>1147.2</v>
      </c>
      <c r="M185" s="11">
        <f>J185*F185</f>
        <v>860.40000000000009</v>
      </c>
      <c r="N185" s="11">
        <f>K185*F185</f>
        <v>2868</v>
      </c>
      <c r="O185" s="12">
        <f>L185*F185</f>
        <v>3441.6000000000004</v>
      </c>
    </row>
    <row r="186" spans="1:15" x14ac:dyDescent="0.25">
      <c r="A186" s="102">
        <f>IF(Table8[[#This Row],[in-game_name]]&lt;&gt;"",ROW(A185),"")</f>
        <v>185</v>
      </c>
      <c r="B186" s="105" t="s">
        <v>7</v>
      </c>
      <c r="C186" s="92">
        <f>_xlfn.XLOOKUP(B186,Table4[in-game_name],Table4[user_number],"User Not Found")</f>
        <v>35</v>
      </c>
      <c r="D186" s="3">
        <v>44529</v>
      </c>
      <c r="E186" s="1">
        <v>357</v>
      </c>
      <c r="F186" s="8">
        <v>3.2</v>
      </c>
      <c r="G186" s="1">
        <v>0.05</v>
      </c>
      <c r="H186" s="1">
        <v>0.35</v>
      </c>
      <c r="I186" s="1">
        <v>0.6</v>
      </c>
      <c r="J186" s="13">
        <f t="shared" si="3"/>
        <v>17.850000000000001</v>
      </c>
      <c r="K186" s="14">
        <f>E186-L186-J186</f>
        <v>124.95000000000002</v>
      </c>
      <c r="L186" s="14">
        <f>E186*I186</f>
        <v>214.2</v>
      </c>
      <c r="M186" s="11">
        <f>J186*F186</f>
        <v>57.120000000000005</v>
      </c>
      <c r="N186" s="11">
        <f>K186*F186</f>
        <v>399.84000000000009</v>
      </c>
      <c r="O186" s="12">
        <f>L186*F186</f>
        <v>685.44</v>
      </c>
    </row>
    <row r="187" spans="1:15" x14ac:dyDescent="0.25">
      <c r="A187" s="102">
        <f>IF(Table8[[#This Row],[in-game_name]]&lt;&gt;"",ROW(A186),"")</f>
        <v>186</v>
      </c>
      <c r="B187" s="105" t="s">
        <v>36</v>
      </c>
      <c r="C187" s="92">
        <f>_xlfn.XLOOKUP(B187,Table4[in-game_name],Table4[user_number],"User Not Found")</f>
        <v>7</v>
      </c>
      <c r="D187" s="3">
        <v>44529</v>
      </c>
      <c r="E187" s="1">
        <v>696</v>
      </c>
      <c r="F187" s="8">
        <v>3.2</v>
      </c>
      <c r="G187" s="1">
        <v>0.05</v>
      </c>
      <c r="H187" s="1">
        <v>0.35</v>
      </c>
      <c r="I187" s="1">
        <v>0.6</v>
      </c>
      <c r="J187" s="13">
        <f t="shared" si="3"/>
        <v>34.800000000000004</v>
      </c>
      <c r="K187" s="14">
        <f>E187-L187-J187</f>
        <v>243.60000000000002</v>
      </c>
      <c r="L187" s="14">
        <f>E187*I187</f>
        <v>417.59999999999997</v>
      </c>
      <c r="M187" s="11">
        <f>J187*F187</f>
        <v>111.36000000000001</v>
      </c>
      <c r="N187" s="11">
        <f>K187*F187</f>
        <v>779.5200000000001</v>
      </c>
      <c r="O187" s="12">
        <f>L187*F187</f>
        <v>1336.32</v>
      </c>
    </row>
    <row r="188" spans="1:15" x14ac:dyDescent="0.25">
      <c r="A188" s="102">
        <f>IF(Table8[[#This Row],[in-game_name]]&lt;&gt;"",ROW(A187),"")</f>
        <v>187</v>
      </c>
      <c r="B188" s="105" t="s">
        <v>11</v>
      </c>
      <c r="C188" s="92">
        <f>_xlfn.XLOOKUP(B188,Table4[in-game_name],Table4[user_number],"User Not Found")</f>
        <v>2</v>
      </c>
      <c r="D188" s="3">
        <v>44530</v>
      </c>
      <c r="E188" s="1">
        <v>3605</v>
      </c>
      <c r="F188" s="8">
        <v>3</v>
      </c>
      <c r="G188" s="1">
        <v>0</v>
      </c>
      <c r="H188" s="1">
        <v>1</v>
      </c>
      <c r="I188" s="1">
        <v>0</v>
      </c>
      <c r="J188" s="13">
        <f t="shared" si="3"/>
        <v>0</v>
      </c>
      <c r="K188" s="14">
        <f>E188-L188-J188</f>
        <v>3605</v>
      </c>
      <c r="L188" s="14">
        <f>E188*I188</f>
        <v>0</v>
      </c>
      <c r="M188" s="11">
        <f>J188*F188</f>
        <v>0</v>
      </c>
      <c r="N188" s="11">
        <f>K188*F188</f>
        <v>10815</v>
      </c>
      <c r="O188" s="12">
        <f>L188*F188</f>
        <v>0</v>
      </c>
    </row>
    <row r="189" spans="1:15" x14ac:dyDescent="0.25">
      <c r="A189" s="102">
        <f>IF(Table8[[#This Row],[in-game_name]]&lt;&gt;"",ROW(A188),"")</f>
        <v>188</v>
      </c>
      <c r="B189" s="105" t="s">
        <v>5</v>
      </c>
      <c r="C189" s="92">
        <f>_xlfn.XLOOKUP(B189,Table4[in-game_name],Table4[user_number],"User Not Found")</f>
        <v>1</v>
      </c>
      <c r="D189" s="3">
        <v>44530</v>
      </c>
      <c r="E189" s="1">
        <v>3326</v>
      </c>
      <c r="F189" s="8">
        <v>3.2</v>
      </c>
      <c r="G189" s="1">
        <v>0</v>
      </c>
      <c r="H189" s="1">
        <v>1</v>
      </c>
      <c r="I189" s="1">
        <v>0</v>
      </c>
      <c r="J189" s="13">
        <f t="shared" si="3"/>
        <v>0</v>
      </c>
      <c r="K189" s="14">
        <f>E189-L189-J189</f>
        <v>3326</v>
      </c>
      <c r="L189" s="14">
        <f>E189*I189</f>
        <v>0</v>
      </c>
      <c r="M189" s="11">
        <f>J189*F189</f>
        <v>0</v>
      </c>
      <c r="N189" s="11">
        <f>K189*F189</f>
        <v>10643.2</v>
      </c>
      <c r="O189" s="12">
        <f>L189*F189</f>
        <v>0</v>
      </c>
    </row>
    <row r="190" spans="1:15" x14ac:dyDescent="0.25">
      <c r="A190" s="102">
        <f>IF(Table8[[#This Row],[in-game_name]]&lt;&gt;"",ROW(A189),"")</f>
        <v>189</v>
      </c>
      <c r="B190" s="105" t="s">
        <v>41</v>
      </c>
      <c r="C190" s="92">
        <f>_xlfn.XLOOKUP(B190,Table4[in-game_name],Table4[user_number],"User Not Found")</f>
        <v>8</v>
      </c>
      <c r="D190" s="3">
        <v>44530</v>
      </c>
      <c r="E190" s="1">
        <v>2197</v>
      </c>
      <c r="F190" s="8">
        <v>3.2</v>
      </c>
      <c r="G190" s="1">
        <v>0.1</v>
      </c>
      <c r="H190" s="1">
        <v>0.4</v>
      </c>
      <c r="I190" s="1">
        <v>0.5</v>
      </c>
      <c r="J190" s="13">
        <f t="shared" si="3"/>
        <v>219.70000000000002</v>
      </c>
      <c r="K190" s="14">
        <f>E190-L190-J190</f>
        <v>878.8</v>
      </c>
      <c r="L190" s="14">
        <f>E190*I190</f>
        <v>1098.5</v>
      </c>
      <c r="M190" s="11">
        <f>J190*F190</f>
        <v>703.04000000000008</v>
      </c>
      <c r="N190" s="11">
        <f>K190*F190</f>
        <v>2812.16</v>
      </c>
      <c r="O190" s="12">
        <f>L190*F190</f>
        <v>3515.2000000000003</v>
      </c>
    </row>
    <row r="191" spans="1:15" x14ac:dyDescent="0.25">
      <c r="A191" s="102">
        <f>IF(Table8[[#This Row],[in-game_name]]&lt;&gt;"",ROW(A190),"")</f>
        <v>190</v>
      </c>
      <c r="B191" s="105" t="s">
        <v>25</v>
      </c>
      <c r="C191" s="92">
        <f>_xlfn.XLOOKUP(B191,Table4[in-game_name],Table4[user_number],"User Not Found")</f>
        <v>38</v>
      </c>
      <c r="D191" s="3">
        <v>44531</v>
      </c>
      <c r="E191" s="1">
        <v>3096</v>
      </c>
      <c r="F191" s="8">
        <v>3</v>
      </c>
      <c r="G191" s="1">
        <v>0.1</v>
      </c>
      <c r="H191" s="1">
        <v>0.4</v>
      </c>
      <c r="I191" s="1">
        <v>0.5</v>
      </c>
      <c r="J191" s="13">
        <f t="shared" si="3"/>
        <v>309.60000000000002</v>
      </c>
      <c r="K191" s="14">
        <f>E191-L191-J191</f>
        <v>1238.4000000000001</v>
      </c>
      <c r="L191" s="14">
        <f>E191*I191</f>
        <v>1548</v>
      </c>
      <c r="M191" s="11">
        <f>J191*F191</f>
        <v>928.80000000000007</v>
      </c>
      <c r="N191" s="11">
        <f>K191*F191</f>
        <v>3715.2000000000003</v>
      </c>
      <c r="O191" s="12">
        <f>L191*F191</f>
        <v>4644</v>
      </c>
    </row>
    <row r="192" spans="1:15" x14ac:dyDescent="0.25">
      <c r="A192" s="102">
        <f>IF(Table8[[#This Row],[in-game_name]]&lt;&gt;"",ROW(A191),"")</f>
        <v>191</v>
      </c>
      <c r="B192" s="105" t="s">
        <v>41</v>
      </c>
      <c r="C192" s="92">
        <f>_xlfn.XLOOKUP(B192,Table4[in-game_name],Table4[user_number],"User Not Found")</f>
        <v>8</v>
      </c>
      <c r="D192" s="3">
        <v>44531</v>
      </c>
      <c r="E192" s="1">
        <v>2452</v>
      </c>
      <c r="F192" s="8">
        <v>3</v>
      </c>
      <c r="G192" s="1">
        <v>0.15</v>
      </c>
      <c r="H192" s="1">
        <v>0.4</v>
      </c>
      <c r="I192" s="1">
        <v>0.44999999999999996</v>
      </c>
      <c r="J192" s="13">
        <f t="shared" si="3"/>
        <v>367.8</v>
      </c>
      <c r="K192" s="14">
        <f>E192-L192-J192</f>
        <v>980.80000000000018</v>
      </c>
      <c r="L192" s="14">
        <f>E192*I192</f>
        <v>1103.3999999999999</v>
      </c>
      <c r="M192" s="11">
        <f>J192*F192</f>
        <v>1103.4000000000001</v>
      </c>
      <c r="N192" s="11">
        <f>K192*F192</f>
        <v>2942.4000000000005</v>
      </c>
      <c r="O192" s="12">
        <f>L192*F192</f>
        <v>3310.2</v>
      </c>
    </row>
    <row r="193" spans="1:15" x14ac:dyDescent="0.25">
      <c r="A193" s="102">
        <f>IF(Table8[[#This Row],[in-game_name]]&lt;&gt;"",ROW(A192),"")</f>
        <v>192</v>
      </c>
      <c r="B193" s="105" t="s">
        <v>36</v>
      </c>
      <c r="C193" s="92">
        <f>_xlfn.XLOOKUP(B193,Table4[in-game_name],Table4[user_number],"User Not Found")</f>
        <v>7</v>
      </c>
      <c r="D193" s="3">
        <v>44531</v>
      </c>
      <c r="E193" s="1">
        <v>2004</v>
      </c>
      <c r="F193" s="8">
        <v>3</v>
      </c>
      <c r="G193" s="1">
        <v>0.1</v>
      </c>
      <c r="H193" s="1">
        <v>0.4</v>
      </c>
      <c r="I193" s="1">
        <v>0.5</v>
      </c>
      <c r="J193" s="13">
        <f t="shared" si="3"/>
        <v>200.4</v>
      </c>
      <c r="K193" s="14">
        <f>E193-L193-J193</f>
        <v>801.6</v>
      </c>
      <c r="L193" s="14">
        <f>E193*I193</f>
        <v>1002</v>
      </c>
      <c r="M193" s="11">
        <f>J193*F193</f>
        <v>601.20000000000005</v>
      </c>
      <c r="N193" s="11">
        <f>K193*F193</f>
        <v>2404.8000000000002</v>
      </c>
      <c r="O193" s="12">
        <f>L193*F193</f>
        <v>3006</v>
      </c>
    </row>
    <row r="194" spans="1:15" x14ac:dyDescent="0.25">
      <c r="A194" s="102">
        <f>IF(Table8[[#This Row],[in-game_name]]&lt;&gt;"",ROW(A193),"")</f>
        <v>193</v>
      </c>
      <c r="B194" s="105" t="s">
        <v>43</v>
      </c>
      <c r="C194" s="92">
        <f>_xlfn.XLOOKUP(B194,Table4[in-game_name],Table4[user_number],"User Not Found")</f>
        <v>42</v>
      </c>
      <c r="D194" s="3">
        <v>44532</v>
      </c>
      <c r="E194" s="1">
        <v>2447</v>
      </c>
      <c r="F194" s="8">
        <v>2.77</v>
      </c>
      <c r="G194" s="1">
        <v>0.08</v>
      </c>
      <c r="H194" s="1">
        <v>0.42</v>
      </c>
      <c r="I194" s="1">
        <v>0.5</v>
      </c>
      <c r="J194" s="13">
        <f t="shared" ref="J194:J257" si="4">E194*G194</f>
        <v>195.76</v>
      </c>
      <c r="K194" s="14">
        <f>E194-L194-J194</f>
        <v>1027.74</v>
      </c>
      <c r="L194" s="14">
        <f>E194*I194</f>
        <v>1223.5</v>
      </c>
      <c r="M194" s="11">
        <f>J194*F194</f>
        <v>542.25519999999995</v>
      </c>
      <c r="N194" s="11">
        <f>K194*F194</f>
        <v>2846.8398000000002</v>
      </c>
      <c r="O194" s="12">
        <f>L194*F194</f>
        <v>3389.0949999999998</v>
      </c>
    </row>
    <row r="195" spans="1:15" x14ac:dyDescent="0.25">
      <c r="A195" s="102">
        <f>IF(Table8[[#This Row],[in-game_name]]&lt;&gt;"",ROW(A194),"")</f>
        <v>194</v>
      </c>
      <c r="B195" s="105" t="s">
        <v>7</v>
      </c>
      <c r="C195" s="92">
        <f>_xlfn.XLOOKUP(B195,Table4[in-game_name],Table4[user_number],"User Not Found")</f>
        <v>35</v>
      </c>
      <c r="D195" s="3">
        <v>44534</v>
      </c>
      <c r="E195" s="1">
        <v>2480</v>
      </c>
      <c r="F195" s="8">
        <v>2.5</v>
      </c>
      <c r="G195" s="1">
        <v>0.05</v>
      </c>
      <c r="H195" s="1">
        <v>0.45</v>
      </c>
      <c r="I195" s="1">
        <v>0.49999999999999994</v>
      </c>
      <c r="J195" s="13">
        <f t="shared" si="4"/>
        <v>124</v>
      </c>
      <c r="K195" s="14">
        <f>E195-L195-J195</f>
        <v>1116.0000000000002</v>
      </c>
      <c r="L195" s="14">
        <f>E195*I195</f>
        <v>1239.9999999999998</v>
      </c>
      <c r="M195" s="11">
        <f>J195*F195</f>
        <v>310</v>
      </c>
      <c r="N195" s="11">
        <f>K195*F195</f>
        <v>2790.0000000000005</v>
      </c>
      <c r="O195" s="12">
        <f>L195*F195</f>
        <v>3099.9999999999995</v>
      </c>
    </row>
    <row r="196" spans="1:15" x14ac:dyDescent="0.25">
      <c r="A196" s="102">
        <f>IF(Table8[[#This Row],[in-game_name]]&lt;&gt;"",ROW(A195),"")</f>
        <v>195</v>
      </c>
      <c r="B196" s="105" t="s">
        <v>38</v>
      </c>
      <c r="C196" s="92">
        <f>_xlfn.XLOOKUP(B196,Table4[in-game_name],Table4[user_number],"User Not Found")</f>
        <v>41</v>
      </c>
      <c r="D196" s="3">
        <v>44535</v>
      </c>
      <c r="E196" s="1">
        <v>2678</v>
      </c>
      <c r="F196" s="8">
        <v>1.9</v>
      </c>
      <c r="G196" s="1">
        <v>0.08</v>
      </c>
      <c r="H196" s="1">
        <v>0.43</v>
      </c>
      <c r="I196" s="1">
        <v>0.49000000000000005</v>
      </c>
      <c r="J196" s="13">
        <f t="shared" si="4"/>
        <v>214.24</v>
      </c>
      <c r="K196" s="14">
        <f>E196-L196-J196</f>
        <v>1151.54</v>
      </c>
      <c r="L196" s="14">
        <f>E196*I196</f>
        <v>1312.22</v>
      </c>
      <c r="M196" s="11">
        <f>J196*F196</f>
        <v>407.05599999999998</v>
      </c>
      <c r="N196" s="11">
        <f>K196*F196</f>
        <v>2187.9259999999999</v>
      </c>
      <c r="O196" s="12">
        <f>L196*F196</f>
        <v>2493.2179999999998</v>
      </c>
    </row>
    <row r="197" spans="1:15" x14ac:dyDescent="0.25">
      <c r="A197" s="102">
        <f>IF(Table8[[#This Row],[in-game_name]]&lt;&gt;"",ROW(A196),"")</f>
        <v>196</v>
      </c>
      <c r="B197" s="105" t="s">
        <v>56</v>
      </c>
      <c r="C197" s="92">
        <f>_xlfn.XLOOKUP(B197,Table4[in-game_name],Table4[user_number],"User Not Found")</f>
        <v>28</v>
      </c>
      <c r="D197" s="3">
        <v>44535</v>
      </c>
      <c r="E197" s="1">
        <v>1771</v>
      </c>
      <c r="F197" s="8">
        <v>2.1</v>
      </c>
      <c r="G197" s="1">
        <v>0.23</v>
      </c>
      <c r="H197" s="1">
        <v>0.37</v>
      </c>
      <c r="I197" s="1">
        <v>0.4</v>
      </c>
      <c r="J197" s="13">
        <f t="shared" si="4"/>
        <v>407.33000000000004</v>
      </c>
      <c r="K197" s="14">
        <f>E197-L197-J197</f>
        <v>655.26999999999987</v>
      </c>
      <c r="L197" s="14">
        <f>E197*I197</f>
        <v>708.40000000000009</v>
      </c>
      <c r="M197" s="11">
        <f>J197*F197</f>
        <v>855.39300000000014</v>
      </c>
      <c r="N197" s="11">
        <f>K197*F197</f>
        <v>1376.0669999999998</v>
      </c>
      <c r="O197" s="12">
        <f>L197*F197</f>
        <v>1487.6400000000003</v>
      </c>
    </row>
    <row r="198" spans="1:15" x14ac:dyDescent="0.25">
      <c r="A198" s="102">
        <f>IF(Table8[[#This Row],[in-game_name]]&lt;&gt;"",ROW(A197),"")</f>
        <v>197</v>
      </c>
      <c r="B198" s="105" t="s">
        <v>28</v>
      </c>
      <c r="C198" s="92">
        <f>_xlfn.XLOOKUP(B198,Table4[in-game_name],Table4[user_number],"User Not Found")</f>
        <v>22</v>
      </c>
      <c r="D198" s="3">
        <v>44535</v>
      </c>
      <c r="E198" s="1">
        <v>1969</v>
      </c>
      <c r="F198" s="8">
        <v>1.9</v>
      </c>
      <c r="G198" s="1">
        <v>0.03</v>
      </c>
      <c r="H198" s="1">
        <v>0.37</v>
      </c>
      <c r="I198" s="1">
        <v>0.6</v>
      </c>
      <c r="J198" s="13">
        <f t="shared" si="4"/>
        <v>59.07</v>
      </c>
      <c r="K198" s="14">
        <f>E198-L198-J198</f>
        <v>728.53000000000009</v>
      </c>
      <c r="L198" s="14">
        <f>E198*I198</f>
        <v>1181.3999999999999</v>
      </c>
      <c r="M198" s="11">
        <f>J198*F198</f>
        <v>112.23299999999999</v>
      </c>
      <c r="N198" s="11">
        <f>K198*F198</f>
        <v>1384.2070000000001</v>
      </c>
      <c r="O198" s="12">
        <f>L198*F198</f>
        <v>2244.66</v>
      </c>
    </row>
    <row r="199" spans="1:15" x14ac:dyDescent="0.25">
      <c r="A199" s="102">
        <f>IF(Table8[[#This Row],[in-game_name]]&lt;&gt;"",ROW(A198),"")</f>
        <v>198</v>
      </c>
      <c r="B199" s="105" t="s">
        <v>71</v>
      </c>
      <c r="C199" s="92">
        <f>_xlfn.XLOOKUP(B199,Table4[in-game_name],Table4[user_number],"User Not Found")</f>
        <v>30</v>
      </c>
      <c r="D199" s="3">
        <v>44535</v>
      </c>
      <c r="E199" s="1">
        <v>1874</v>
      </c>
      <c r="F199" s="8">
        <v>1.9</v>
      </c>
      <c r="G199" s="1">
        <v>0.03</v>
      </c>
      <c r="H199" s="1">
        <v>0.37</v>
      </c>
      <c r="I199" s="1">
        <v>0.6</v>
      </c>
      <c r="J199" s="13">
        <f t="shared" si="4"/>
        <v>56.22</v>
      </c>
      <c r="K199" s="14">
        <f>E199-L199-J199</f>
        <v>693.38000000000011</v>
      </c>
      <c r="L199" s="14">
        <f>E199*I199</f>
        <v>1124.3999999999999</v>
      </c>
      <c r="M199" s="11">
        <f>J199*F199</f>
        <v>106.818</v>
      </c>
      <c r="N199" s="11">
        <f>K199*F199</f>
        <v>1317.4220000000003</v>
      </c>
      <c r="O199" s="12">
        <f>L199*F199</f>
        <v>2136.3599999999997</v>
      </c>
    </row>
    <row r="200" spans="1:15" x14ac:dyDescent="0.25">
      <c r="A200" s="102">
        <f>IF(Table8[[#This Row],[in-game_name]]&lt;&gt;"",ROW(A199),"")</f>
        <v>199</v>
      </c>
      <c r="B200" s="105" t="s">
        <v>91</v>
      </c>
      <c r="C200" s="92">
        <f>_xlfn.XLOOKUP(B200,Table4[in-game_name],Table4[user_number],"User Not Found")</f>
        <v>33</v>
      </c>
      <c r="D200" s="3">
        <v>44535</v>
      </c>
      <c r="E200" s="1">
        <v>1677</v>
      </c>
      <c r="F200" s="8">
        <v>1.9</v>
      </c>
      <c r="G200" s="1">
        <v>0.03</v>
      </c>
      <c r="H200" s="1">
        <v>0.27</v>
      </c>
      <c r="I200" s="1">
        <v>0.7</v>
      </c>
      <c r="J200" s="13">
        <f t="shared" si="4"/>
        <v>50.309999999999995</v>
      </c>
      <c r="K200" s="14">
        <f>E200-L200-J200</f>
        <v>452.79000000000013</v>
      </c>
      <c r="L200" s="14">
        <f>E200*I200</f>
        <v>1173.8999999999999</v>
      </c>
      <c r="M200" s="11">
        <f>J200*F200</f>
        <v>95.588999999999984</v>
      </c>
      <c r="N200" s="11">
        <f>K200*F200</f>
        <v>860.30100000000016</v>
      </c>
      <c r="O200" s="12">
        <f>L200*F200</f>
        <v>2230.41</v>
      </c>
    </row>
    <row r="201" spans="1:15" x14ac:dyDescent="0.25">
      <c r="A201" s="102">
        <f>IF(Table8[[#This Row],[in-game_name]]&lt;&gt;"",ROW(A200),"")</f>
        <v>200</v>
      </c>
      <c r="B201" s="105" t="s">
        <v>33</v>
      </c>
      <c r="C201" s="92">
        <f>_xlfn.XLOOKUP(B201,Table4[in-game_name],Table4[user_number],"User Not Found")</f>
        <v>40</v>
      </c>
      <c r="D201" s="3">
        <v>44535</v>
      </c>
      <c r="E201" s="1">
        <v>1198</v>
      </c>
      <c r="F201" s="8">
        <v>1.9</v>
      </c>
      <c r="G201" s="1">
        <v>0.65</v>
      </c>
      <c r="H201" s="1">
        <v>0.35</v>
      </c>
      <c r="I201" s="1">
        <v>0</v>
      </c>
      <c r="J201" s="13">
        <f t="shared" si="4"/>
        <v>778.7</v>
      </c>
      <c r="K201" s="14">
        <f>E201-L201-J201</f>
        <v>419.29999999999995</v>
      </c>
      <c r="L201" s="14">
        <f>E201*I201</f>
        <v>0</v>
      </c>
      <c r="M201" s="11">
        <f>J201*F201</f>
        <v>1479.53</v>
      </c>
      <c r="N201" s="11">
        <f>K201*F201</f>
        <v>796.66999999999985</v>
      </c>
      <c r="O201" s="12">
        <f>L201*F201</f>
        <v>0</v>
      </c>
    </row>
    <row r="202" spans="1:15" x14ac:dyDescent="0.25">
      <c r="A202" s="102">
        <f>IF(Table8[[#This Row],[in-game_name]]&lt;&gt;"",ROW(A201),"")</f>
        <v>201</v>
      </c>
      <c r="B202" s="105" t="s">
        <v>24</v>
      </c>
      <c r="C202" s="92">
        <f>_xlfn.XLOOKUP(B202,Table4[in-game_name],Table4[user_number],"User Not Found")</f>
        <v>21</v>
      </c>
      <c r="D202" s="3">
        <v>44535</v>
      </c>
      <c r="E202" s="1">
        <v>835</v>
      </c>
      <c r="F202" s="8">
        <v>1.9</v>
      </c>
      <c r="G202" s="1">
        <v>0.15</v>
      </c>
      <c r="H202" s="1">
        <v>0.35</v>
      </c>
      <c r="I202" s="1">
        <v>0.5</v>
      </c>
      <c r="J202" s="13">
        <f t="shared" si="4"/>
        <v>125.25</v>
      </c>
      <c r="K202" s="14">
        <f>E202-L202-J202</f>
        <v>292.25</v>
      </c>
      <c r="L202" s="14">
        <f>E202*I202</f>
        <v>417.5</v>
      </c>
      <c r="M202" s="11">
        <f>J202*F202</f>
        <v>237.97499999999999</v>
      </c>
      <c r="N202" s="11">
        <f>K202*F202</f>
        <v>555.27499999999998</v>
      </c>
      <c r="O202" s="12">
        <f>L202*F202</f>
        <v>793.25</v>
      </c>
    </row>
    <row r="203" spans="1:15" x14ac:dyDescent="0.25">
      <c r="A203" s="102">
        <f>IF(Table8[[#This Row],[in-game_name]]&lt;&gt;"",ROW(A202),"")</f>
        <v>202</v>
      </c>
      <c r="B203" s="105" t="s">
        <v>37</v>
      </c>
      <c r="C203" s="92">
        <f>_xlfn.XLOOKUP(B203,Table4[in-game_name],Table4[user_number],"User Not Found")</f>
        <v>24</v>
      </c>
      <c r="D203" s="3">
        <v>44535</v>
      </c>
      <c r="E203" s="1">
        <v>1505</v>
      </c>
      <c r="F203" s="8">
        <v>1.9</v>
      </c>
      <c r="G203" s="1">
        <v>0.03</v>
      </c>
      <c r="H203" s="1">
        <v>0.27</v>
      </c>
      <c r="I203" s="1">
        <v>0.7</v>
      </c>
      <c r="J203" s="13">
        <f t="shared" si="4"/>
        <v>45.15</v>
      </c>
      <c r="K203" s="14">
        <f>E203-L203-J203</f>
        <v>406.35</v>
      </c>
      <c r="L203" s="14">
        <f>E203*I203</f>
        <v>1053.5</v>
      </c>
      <c r="M203" s="11">
        <f>J203*F203</f>
        <v>85.784999999999997</v>
      </c>
      <c r="N203" s="11">
        <f>K203*F203</f>
        <v>772.06500000000005</v>
      </c>
      <c r="O203" s="12">
        <f>L203*F203</f>
        <v>2001.6499999999999</v>
      </c>
    </row>
    <row r="204" spans="1:15" x14ac:dyDescent="0.25">
      <c r="A204" s="102">
        <f>IF(Table8[[#This Row],[in-game_name]]&lt;&gt;"",ROW(A203),"")</f>
        <v>203</v>
      </c>
      <c r="B204" s="105" t="s">
        <v>47</v>
      </c>
      <c r="C204" s="92">
        <f>_xlfn.XLOOKUP(B204,Table4[in-game_name],Table4[user_number],"User Not Found")</f>
        <v>26</v>
      </c>
      <c r="D204" s="3">
        <v>44535</v>
      </c>
      <c r="E204" s="1">
        <v>2608</v>
      </c>
      <c r="F204" s="8">
        <v>1.9</v>
      </c>
      <c r="G204" s="1">
        <v>0.03</v>
      </c>
      <c r="H204" s="1">
        <v>0.37</v>
      </c>
      <c r="I204" s="1">
        <v>0.6</v>
      </c>
      <c r="J204" s="13">
        <f t="shared" si="4"/>
        <v>78.239999999999995</v>
      </c>
      <c r="K204" s="14">
        <f>E204-L204-J204</f>
        <v>964.96</v>
      </c>
      <c r="L204" s="14">
        <f>E204*I204</f>
        <v>1564.8</v>
      </c>
      <c r="M204" s="11">
        <f>J204*F204</f>
        <v>148.65599999999998</v>
      </c>
      <c r="N204" s="11">
        <f>K204*F204</f>
        <v>1833.424</v>
      </c>
      <c r="O204" s="12">
        <f>L204*F204</f>
        <v>2973.12</v>
      </c>
    </row>
    <row r="205" spans="1:15" x14ac:dyDescent="0.25">
      <c r="A205" s="102">
        <f>IF(Table8[[#This Row],[in-game_name]]&lt;&gt;"",ROW(A204),"")</f>
        <v>204</v>
      </c>
      <c r="B205" s="105" t="s">
        <v>29</v>
      </c>
      <c r="C205" s="92">
        <f>_xlfn.XLOOKUP(B205,Table4[in-game_name],Table4[user_number],"User Not Found")</f>
        <v>39</v>
      </c>
      <c r="D205" s="3">
        <v>44535</v>
      </c>
      <c r="E205" s="1">
        <v>1416</v>
      </c>
      <c r="F205" s="8">
        <v>1.9</v>
      </c>
      <c r="G205" s="1">
        <v>0.03</v>
      </c>
      <c r="H205" s="1">
        <v>0.37</v>
      </c>
      <c r="I205" s="1">
        <v>0.6</v>
      </c>
      <c r="J205" s="13">
        <f t="shared" si="4"/>
        <v>42.48</v>
      </c>
      <c r="K205" s="14">
        <f>E205-L205-J205</f>
        <v>523.91999999999996</v>
      </c>
      <c r="L205" s="14">
        <f>E205*I205</f>
        <v>849.6</v>
      </c>
      <c r="M205" s="11">
        <f>J205*F205</f>
        <v>80.711999999999989</v>
      </c>
      <c r="N205" s="11">
        <f>K205*F205</f>
        <v>995.44799999999987</v>
      </c>
      <c r="O205" s="12">
        <f>L205*F205</f>
        <v>1614.24</v>
      </c>
    </row>
    <row r="206" spans="1:15" x14ac:dyDescent="0.25">
      <c r="A206" s="102">
        <f>IF(Table8[[#This Row],[in-game_name]]&lt;&gt;"",ROW(A205),"")</f>
        <v>205</v>
      </c>
      <c r="B206" s="105" t="s">
        <v>48</v>
      </c>
      <c r="C206" s="92">
        <f>_xlfn.XLOOKUP(B206,Table4[in-game_name],Table4[user_number],"User Not Found")</f>
        <v>43</v>
      </c>
      <c r="D206" s="3">
        <v>44535</v>
      </c>
      <c r="E206" s="1">
        <v>2439</v>
      </c>
      <c r="F206" s="8">
        <v>1.9</v>
      </c>
      <c r="G206" s="1">
        <v>0.1</v>
      </c>
      <c r="H206" s="1">
        <v>0.3</v>
      </c>
      <c r="I206" s="1">
        <v>0.60000000000000009</v>
      </c>
      <c r="J206" s="13">
        <f t="shared" si="4"/>
        <v>243.9</v>
      </c>
      <c r="K206" s="14">
        <f>E206-L206-J206</f>
        <v>731.6999999999997</v>
      </c>
      <c r="L206" s="14">
        <f>E206*I206</f>
        <v>1463.4000000000003</v>
      </c>
      <c r="M206" s="11">
        <f>J206*F206</f>
        <v>463.40999999999997</v>
      </c>
      <c r="N206" s="11">
        <f>K206*F206</f>
        <v>1390.2299999999993</v>
      </c>
      <c r="O206" s="12">
        <f>L206*F206</f>
        <v>2780.4600000000005</v>
      </c>
    </row>
    <row r="207" spans="1:15" x14ac:dyDescent="0.25">
      <c r="A207" s="102">
        <f>IF(Table8[[#This Row],[in-game_name]]&lt;&gt;"",ROW(A206),"")</f>
        <v>206</v>
      </c>
      <c r="B207" s="105" t="s">
        <v>46</v>
      </c>
      <c r="C207" s="92">
        <f>_xlfn.XLOOKUP(B207,Table4[in-game_name],Table4[user_number],"User Not Found")</f>
        <v>9</v>
      </c>
      <c r="D207" s="3">
        <v>44535</v>
      </c>
      <c r="E207" s="1">
        <v>2230</v>
      </c>
      <c r="F207" s="8">
        <v>2</v>
      </c>
      <c r="G207" s="1">
        <v>0.12</v>
      </c>
      <c r="H207" s="1">
        <v>0.37</v>
      </c>
      <c r="I207" s="1">
        <v>0.51</v>
      </c>
      <c r="J207" s="13">
        <f t="shared" si="4"/>
        <v>267.59999999999997</v>
      </c>
      <c r="K207" s="14">
        <f>E207-L207-J207</f>
        <v>825.10000000000014</v>
      </c>
      <c r="L207" s="14">
        <f>E207*I207</f>
        <v>1137.3</v>
      </c>
      <c r="M207" s="11">
        <f>J207*F207</f>
        <v>535.19999999999993</v>
      </c>
      <c r="N207" s="11">
        <f>K207*F207</f>
        <v>1650.2000000000003</v>
      </c>
      <c r="O207" s="12">
        <f>L207*F207</f>
        <v>2274.6</v>
      </c>
    </row>
    <row r="208" spans="1:15" x14ac:dyDescent="0.25">
      <c r="A208" s="102">
        <f>IF(Table8[[#This Row],[in-game_name]]&lt;&gt;"",ROW(A207),"")</f>
        <v>207</v>
      </c>
      <c r="B208" s="105" t="s">
        <v>92</v>
      </c>
      <c r="C208" s="92">
        <f>_xlfn.XLOOKUP(B208,Table4[in-game_name],Table4[user_number],"User Not Found")</f>
        <v>17</v>
      </c>
      <c r="D208" s="3">
        <v>44535</v>
      </c>
      <c r="E208" s="1">
        <v>2001</v>
      </c>
      <c r="F208" s="8">
        <v>1.9</v>
      </c>
      <c r="G208" s="1">
        <v>0.03</v>
      </c>
      <c r="H208" s="1">
        <v>0.37</v>
      </c>
      <c r="I208" s="1">
        <v>0.6</v>
      </c>
      <c r="J208" s="13">
        <f t="shared" si="4"/>
        <v>60.03</v>
      </c>
      <c r="K208" s="14">
        <f>E208-L208-J208</f>
        <v>740.37000000000012</v>
      </c>
      <c r="L208" s="14">
        <f>E208*I208</f>
        <v>1200.5999999999999</v>
      </c>
      <c r="M208" s="11">
        <f>J208*F208</f>
        <v>114.057</v>
      </c>
      <c r="N208" s="11">
        <f>K208*F208</f>
        <v>1406.7030000000002</v>
      </c>
      <c r="O208" s="12">
        <f>L208*F208</f>
        <v>2281.14</v>
      </c>
    </row>
    <row r="209" spans="1:15" x14ac:dyDescent="0.25">
      <c r="A209" s="102">
        <f>IF(Table8[[#This Row],[in-game_name]]&lt;&gt;"",ROW(A208),"")</f>
        <v>208</v>
      </c>
      <c r="B209" s="105" t="s">
        <v>80</v>
      </c>
      <c r="C209" s="92">
        <f>_xlfn.XLOOKUP(B209,Table4[in-game_name],Table4[user_number],"User Not Found")</f>
        <v>49</v>
      </c>
      <c r="D209" s="3">
        <v>44535</v>
      </c>
      <c r="E209" s="1">
        <v>1541</v>
      </c>
      <c r="F209" s="8">
        <v>1.9</v>
      </c>
      <c r="G209" s="1">
        <v>0.03</v>
      </c>
      <c r="H209" s="1">
        <v>0.27</v>
      </c>
      <c r="I209" s="1">
        <v>0.7</v>
      </c>
      <c r="J209" s="13">
        <f t="shared" si="4"/>
        <v>46.23</v>
      </c>
      <c r="K209" s="14">
        <f>E209-L209-J209</f>
        <v>416.07000000000016</v>
      </c>
      <c r="L209" s="14">
        <f>E209*I209</f>
        <v>1078.6999999999998</v>
      </c>
      <c r="M209" s="11">
        <f>J209*F209</f>
        <v>87.836999999999989</v>
      </c>
      <c r="N209" s="11">
        <f>K209*F209</f>
        <v>790.53300000000024</v>
      </c>
      <c r="O209" s="12">
        <f>L209*F209</f>
        <v>2049.5299999999997</v>
      </c>
    </row>
    <row r="210" spans="1:15" x14ac:dyDescent="0.25">
      <c r="A210" s="102">
        <f>IF(Table8[[#This Row],[in-game_name]]&lt;&gt;"",ROW(A209),"")</f>
        <v>209</v>
      </c>
      <c r="B210" s="105" t="s">
        <v>90</v>
      </c>
      <c r="C210" s="92">
        <f>_xlfn.XLOOKUP(B210,Table4[in-game_name],Table4[user_number],"User Not Found")</f>
        <v>16</v>
      </c>
      <c r="D210" s="3">
        <v>44536</v>
      </c>
      <c r="E210" s="1">
        <v>2802</v>
      </c>
      <c r="F210" s="8">
        <v>1.9</v>
      </c>
      <c r="G210" s="1">
        <v>0</v>
      </c>
      <c r="H210" s="1">
        <v>0.5</v>
      </c>
      <c r="I210" s="1">
        <v>0.5</v>
      </c>
      <c r="J210" s="13">
        <f t="shared" si="4"/>
        <v>0</v>
      </c>
      <c r="K210" s="14">
        <f>E210-L210-J210</f>
        <v>1401</v>
      </c>
      <c r="L210" s="14">
        <f>E210*I210</f>
        <v>1401</v>
      </c>
      <c r="M210" s="11">
        <f>J210*F210</f>
        <v>0</v>
      </c>
      <c r="N210" s="11">
        <f>K210*F210</f>
        <v>2661.9</v>
      </c>
      <c r="O210" s="12">
        <f>L210*F210</f>
        <v>2661.9</v>
      </c>
    </row>
    <row r="211" spans="1:15" x14ac:dyDescent="0.25">
      <c r="A211" s="102">
        <f>IF(Table8[[#This Row],[in-game_name]]&lt;&gt;"",ROW(A210),"")</f>
        <v>210</v>
      </c>
      <c r="B211" s="105" t="s">
        <v>70</v>
      </c>
      <c r="C211" s="92">
        <f>_xlfn.XLOOKUP(B211,Table4[in-game_name],Table4[user_number],"User Not Found")</f>
        <v>13</v>
      </c>
      <c r="D211" s="3">
        <v>44540</v>
      </c>
      <c r="E211" s="1">
        <v>1422</v>
      </c>
      <c r="F211" s="8">
        <v>1.8</v>
      </c>
      <c r="G211" s="1">
        <v>0.08</v>
      </c>
      <c r="H211" s="1">
        <v>0.35</v>
      </c>
      <c r="I211" s="1">
        <v>0.57000000000000006</v>
      </c>
      <c r="J211" s="13">
        <f t="shared" si="4"/>
        <v>113.76</v>
      </c>
      <c r="K211" s="14">
        <f>E211-L211-J211</f>
        <v>497.69999999999993</v>
      </c>
      <c r="L211" s="14">
        <f>E211*I211</f>
        <v>810.54000000000008</v>
      </c>
      <c r="M211" s="11">
        <f>J211*F211</f>
        <v>204.768</v>
      </c>
      <c r="N211" s="11">
        <f>K211*F211</f>
        <v>895.8599999999999</v>
      </c>
      <c r="O211" s="12">
        <f>L211*F211</f>
        <v>1458.9720000000002</v>
      </c>
    </row>
    <row r="212" spans="1:15" x14ac:dyDescent="0.25">
      <c r="A212" s="102">
        <f>IF(Table8[[#This Row],[in-game_name]]&lt;&gt;"",ROW(A211),"")</f>
        <v>211</v>
      </c>
      <c r="B212" s="105" t="s">
        <v>19</v>
      </c>
      <c r="C212" s="92">
        <f>_xlfn.XLOOKUP(B212,Table4[in-game_name],Table4[user_number],"User Not Found")</f>
        <v>37</v>
      </c>
      <c r="D212" s="3">
        <v>44543</v>
      </c>
      <c r="E212" s="1">
        <v>2192</v>
      </c>
      <c r="F212" s="8">
        <v>1.8</v>
      </c>
      <c r="G212" s="1">
        <v>0.15</v>
      </c>
      <c r="H212" s="1">
        <v>0.4</v>
      </c>
      <c r="I212" s="1">
        <v>0.44999999999999996</v>
      </c>
      <c r="J212" s="13">
        <f t="shared" si="4"/>
        <v>328.8</v>
      </c>
      <c r="K212" s="14">
        <f>E212-L212-J212</f>
        <v>876.80000000000018</v>
      </c>
      <c r="L212" s="14">
        <f>E212*I212</f>
        <v>986.39999999999986</v>
      </c>
      <c r="M212" s="11">
        <f>J212*F212</f>
        <v>591.84</v>
      </c>
      <c r="N212" s="11">
        <f>K212*F212</f>
        <v>1578.2400000000005</v>
      </c>
      <c r="O212" s="12">
        <f>L212*F212</f>
        <v>1775.5199999999998</v>
      </c>
    </row>
    <row r="213" spans="1:15" x14ac:dyDescent="0.25">
      <c r="A213" s="102">
        <f>IF(Table8[[#This Row],[in-game_name]]&lt;&gt;"",ROW(A212),"")</f>
        <v>212</v>
      </c>
      <c r="B213" s="105" t="s">
        <v>25</v>
      </c>
      <c r="C213" s="92">
        <f>_xlfn.XLOOKUP(B213,Table4[in-game_name],Table4[user_number],"User Not Found")</f>
        <v>38</v>
      </c>
      <c r="D213" s="3">
        <v>44545</v>
      </c>
      <c r="E213" s="1">
        <v>2155</v>
      </c>
      <c r="F213" s="8">
        <v>1.7</v>
      </c>
      <c r="G213" s="1">
        <v>0.1</v>
      </c>
      <c r="H213" s="1">
        <v>0.4</v>
      </c>
      <c r="I213" s="1">
        <v>0.5</v>
      </c>
      <c r="J213" s="13">
        <f t="shared" si="4"/>
        <v>215.5</v>
      </c>
      <c r="K213" s="14">
        <f>E213-L213-J213</f>
        <v>862</v>
      </c>
      <c r="L213" s="14">
        <f>E213*I213</f>
        <v>1077.5</v>
      </c>
      <c r="M213" s="11">
        <f>J213*F213</f>
        <v>366.34999999999997</v>
      </c>
      <c r="N213" s="11">
        <f>K213*F213</f>
        <v>1465.3999999999999</v>
      </c>
      <c r="O213" s="12">
        <f>L213*F213</f>
        <v>1831.75</v>
      </c>
    </row>
    <row r="214" spans="1:15" x14ac:dyDescent="0.25">
      <c r="A214" s="102">
        <f>IF(Table8[[#This Row],[in-game_name]]&lt;&gt;"",ROW(A213),"")</f>
        <v>213</v>
      </c>
      <c r="B214" s="105" t="s">
        <v>41</v>
      </c>
      <c r="C214" s="92">
        <f>_xlfn.XLOOKUP(B214,Table4[in-game_name],Table4[user_number],"User Not Found")</f>
        <v>8</v>
      </c>
      <c r="D214" s="3">
        <v>44545</v>
      </c>
      <c r="E214" s="1">
        <v>2683</v>
      </c>
      <c r="F214" s="8">
        <v>1.7</v>
      </c>
      <c r="G214" s="1">
        <v>0.15</v>
      </c>
      <c r="H214" s="1">
        <v>0.4</v>
      </c>
      <c r="I214" s="1">
        <v>0.44999999999999996</v>
      </c>
      <c r="J214" s="13">
        <f t="shared" si="4"/>
        <v>402.45</v>
      </c>
      <c r="K214" s="14">
        <f>E214-L214-J214</f>
        <v>1073.2</v>
      </c>
      <c r="L214" s="14">
        <f>E214*I214</f>
        <v>1207.3499999999999</v>
      </c>
      <c r="M214" s="11">
        <f>J214*F214</f>
        <v>684.16499999999996</v>
      </c>
      <c r="N214" s="11">
        <f>K214*F214</f>
        <v>1824.44</v>
      </c>
      <c r="O214" s="12">
        <f>L214*F214</f>
        <v>2052.4949999999999</v>
      </c>
    </row>
    <row r="215" spans="1:15" x14ac:dyDescent="0.25">
      <c r="A215" s="102">
        <f>IF(Table8[[#This Row],[in-game_name]]&lt;&gt;"",ROW(A214),"")</f>
        <v>214</v>
      </c>
      <c r="B215" s="105" t="s">
        <v>36</v>
      </c>
      <c r="C215" s="92">
        <f>_xlfn.XLOOKUP(B215,Table4[in-game_name],Table4[user_number],"User Not Found")</f>
        <v>7</v>
      </c>
      <c r="D215" s="3">
        <v>44545</v>
      </c>
      <c r="E215" s="1">
        <v>2192</v>
      </c>
      <c r="F215" s="8">
        <v>1.7</v>
      </c>
      <c r="G215" s="1">
        <v>0.1</v>
      </c>
      <c r="H215" s="1">
        <v>0.4</v>
      </c>
      <c r="I215" s="1">
        <v>0.5</v>
      </c>
      <c r="J215" s="13">
        <f t="shared" si="4"/>
        <v>219.20000000000002</v>
      </c>
      <c r="K215" s="14">
        <f>E215-L215-J215</f>
        <v>876.8</v>
      </c>
      <c r="L215" s="14">
        <f>E215*I215</f>
        <v>1096</v>
      </c>
      <c r="M215" s="11">
        <f>J215*F215</f>
        <v>372.64000000000004</v>
      </c>
      <c r="N215" s="11">
        <f>K215*F215</f>
        <v>1490.56</v>
      </c>
      <c r="O215" s="12">
        <f>L215*F215</f>
        <v>1863.2</v>
      </c>
    </row>
    <row r="216" spans="1:15" x14ac:dyDescent="0.25">
      <c r="A216" s="102">
        <f>IF(Table8[[#This Row],[in-game_name]]&lt;&gt;"",ROW(A215),"")</f>
        <v>215</v>
      </c>
      <c r="B216" s="105" t="s">
        <v>43</v>
      </c>
      <c r="C216" s="92">
        <f>_xlfn.XLOOKUP(B216,Table4[in-game_name],Table4[user_number],"User Not Found")</f>
        <v>42</v>
      </c>
      <c r="D216" s="3">
        <v>44547</v>
      </c>
      <c r="E216" s="1">
        <v>2752</v>
      </c>
      <c r="F216" s="8">
        <v>1.7</v>
      </c>
      <c r="G216" s="1">
        <v>3.5000000000000003E-2</v>
      </c>
      <c r="H216" s="1">
        <v>0.45</v>
      </c>
      <c r="I216" s="1">
        <v>0.5149999999999999</v>
      </c>
      <c r="J216" s="13">
        <f t="shared" si="4"/>
        <v>96.320000000000007</v>
      </c>
      <c r="K216" s="14">
        <f>E216-L216-J216</f>
        <v>1238.4000000000003</v>
      </c>
      <c r="L216" s="14">
        <f>E216*I216</f>
        <v>1417.2799999999997</v>
      </c>
      <c r="M216" s="11">
        <f>J216*F216</f>
        <v>163.744</v>
      </c>
      <c r="N216" s="11">
        <f>K216*F216</f>
        <v>2105.2800000000007</v>
      </c>
      <c r="O216" s="12">
        <f>L216*F216</f>
        <v>2409.3759999999993</v>
      </c>
    </row>
    <row r="217" spans="1:15" x14ac:dyDescent="0.25">
      <c r="A217" s="102">
        <f>IF(Table8[[#This Row],[in-game_name]]&lt;&gt;"",ROW(A216),"")</f>
        <v>216</v>
      </c>
      <c r="B217" s="105" t="s">
        <v>7</v>
      </c>
      <c r="C217" s="92">
        <f>_xlfn.XLOOKUP(B217,Table4[in-game_name],Table4[user_number],"User Not Found")</f>
        <v>35</v>
      </c>
      <c r="D217" s="3">
        <v>44548</v>
      </c>
      <c r="E217" s="1">
        <v>1625</v>
      </c>
      <c r="F217" s="8">
        <v>1.6</v>
      </c>
      <c r="G217" s="1">
        <v>0.05</v>
      </c>
      <c r="H217" s="1">
        <v>0.45</v>
      </c>
      <c r="I217" s="1">
        <v>0.49999999999999994</v>
      </c>
      <c r="J217" s="13">
        <f t="shared" si="4"/>
        <v>81.25</v>
      </c>
      <c r="K217" s="14">
        <f>E217-L217-J217</f>
        <v>731.25000000000011</v>
      </c>
      <c r="L217" s="14">
        <f>E217*I217</f>
        <v>812.49999999999989</v>
      </c>
      <c r="M217" s="11">
        <f>J217*F217</f>
        <v>130</v>
      </c>
      <c r="N217" s="11">
        <f>K217*F217</f>
        <v>1170.0000000000002</v>
      </c>
      <c r="O217" s="12">
        <f>L217*F217</f>
        <v>1300</v>
      </c>
    </row>
    <row r="218" spans="1:15" x14ac:dyDescent="0.25">
      <c r="A218" s="102">
        <f>IF(Table8[[#This Row],[in-game_name]]&lt;&gt;"",ROW(A217),"")</f>
        <v>217</v>
      </c>
      <c r="B218" s="105" t="s">
        <v>38</v>
      </c>
      <c r="C218" s="92">
        <f>_xlfn.XLOOKUP(B218,Table4[in-game_name],Table4[user_number],"User Not Found")</f>
        <v>41</v>
      </c>
      <c r="D218" s="3">
        <v>44549</v>
      </c>
      <c r="E218" s="1">
        <v>1950</v>
      </c>
      <c r="F218" s="8">
        <v>1.6</v>
      </c>
      <c r="G218" s="1">
        <v>0.12</v>
      </c>
      <c r="H218" s="1">
        <v>0.38</v>
      </c>
      <c r="I218" s="1">
        <v>0.5</v>
      </c>
      <c r="J218" s="13">
        <f t="shared" si="4"/>
        <v>234</v>
      </c>
      <c r="K218" s="14">
        <f>E218-L218-J218</f>
        <v>741</v>
      </c>
      <c r="L218" s="14">
        <f>E218*I218</f>
        <v>975</v>
      </c>
      <c r="M218" s="11">
        <f>J218*F218</f>
        <v>374.40000000000003</v>
      </c>
      <c r="N218" s="11">
        <f>K218*F218</f>
        <v>1185.6000000000001</v>
      </c>
      <c r="O218" s="12">
        <f>L218*F218</f>
        <v>1560</v>
      </c>
    </row>
    <row r="219" spans="1:15" x14ac:dyDescent="0.25">
      <c r="A219" s="102">
        <f>IF(Table8[[#This Row],[in-game_name]]&lt;&gt;"",ROW(A218),"")</f>
        <v>218</v>
      </c>
      <c r="B219" s="105" t="s">
        <v>28</v>
      </c>
      <c r="C219" s="92">
        <f>_xlfn.XLOOKUP(B219,Table4[in-game_name],Table4[user_number],"User Not Found")</f>
        <v>22</v>
      </c>
      <c r="D219" s="3">
        <v>44549</v>
      </c>
      <c r="E219" s="1">
        <v>1942</v>
      </c>
      <c r="F219" s="8">
        <v>1.6</v>
      </c>
      <c r="G219" s="1">
        <v>0.03</v>
      </c>
      <c r="H219" s="1">
        <v>0.37</v>
      </c>
      <c r="I219" s="1">
        <v>0.6</v>
      </c>
      <c r="J219" s="13">
        <f t="shared" si="4"/>
        <v>58.26</v>
      </c>
      <c r="K219" s="14">
        <f>E219-L219-J219</f>
        <v>718.54</v>
      </c>
      <c r="L219" s="14">
        <f>E219*I219</f>
        <v>1165.2</v>
      </c>
      <c r="M219" s="11">
        <f>J219*F219</f>
        <v>93.216000000000008</v>
      </c>
      <c r="N219" s="11">
        <f>K219*F219</f>
        <v>1149.664</v>
      </c>
      <c r="O219" s="12">
        <f>L219*F219</f>
        <v>1864.3200000000002</v>
      </c>
    </row>
    <row r="220" spans="1:15" x14ac:dyDescent="0.25">
      <c r="A220" s="102">
        <f>IF(Table8[[#This Row],[in-game_name]]&lt;&gt;"",ROW(A219),"")</f>
        <v>219</v>
      </c>
      <c r="B220" s="105" t="s">
        <v>71</v>
      </c>
      <c r="C220" s="92">
        <f>_xlfn.XLOOKUP(B220,Table4[in-game_name],Table4[user_number],"User Not Found")</f>
        <v>30</v>
      </c>
      <c r="D220" s="3">
        <v>44549</v>
      </c>
      <c r="E220" s="1">
        <v>1645</v>
      </c>
      <c r="F220" s="8">
        <v>1.5</v>
      </c>
      <c r="G220" s="1">
        <v>0.03</v>
      </c>
      <c r="H220" s="1">
        <v>0.27</v>
      </c>
      <c r="I220" s="1">
        <v>0.7</v>
      </c>
      <c r="J220" s="13">
        <f t="shared" si="4"/>
        <v>49.35</v>
      </c>
      <c r="K220" s="14">
        <f>E220-L220-J220</f>
        <v>444.15</v>
      </c>
      <c r="L220" s="14">
        <f>E220*I220</f>
        <v>1151.5</v>
      </c>
      <c r="M220" s="11">
        <f>J220*F220</f>
        <v>74.025000000000006</v>
      </c>
      <c r="N220" s="11">
        <f>K220*F220</f>
        <v>666.22499999999991</v>
      </c>
      <c r="O220" s="12">
        <f>L220*F220</f>
        <v>1727.25</v>
      </c>
    </row>
    <row r="221" spans="1:15" x14ac:dyDescent="0.25">
      <c r="A221" s="102">
        <f>IF(Table8[[#This Row],[in-game_name]]&lt;&gt;"",ROW(A220),"")</f>
        <v>220</v>
      </c>
      <c r="B221" s="105" t="s">
        <v>48</v>
      </c>
      <c r="C221" s="92">
        <f>_xlfn.XLOOKUP(B221,Table4[in-game_name],Table4[user_number],"User Not Found")</f>
        <v>43</v>
      </c>
      <c r="D221" s="3">
        <v>44549</v>
      </c>
      <c r="E221" s="1">
        <v>2146</v>
      </c>
      <c r="F221" s="8">
        <v>1.6</v>
      </c>
      <c r="G221" s="1">
        <v>0.05</v>
      </c>
      <c r="H221" s="1">
        <v>0.35</v>
      </c>
      <c r="I221" s="1">
        <v>0.6</v>
      </c>
      <c r="J221" s="13">
        <f t="shared" si="4"/>
        <v>107.30000000000001</v>
      </c>
      <c r="K221" s="14">
        <f>E221-L221-J221</f>
        <v>751.10000000000014</v>
      </c>
      <c r="L221" s="14">
        <f>E221*I221</f>
        <v>1287.5999999999999</v>
      </c>
      <c r="M221" s="11">
        <f>J221*F221</f>
        <v>171.68000000000004</v>
      </c>
      <c r="N221" s="11">
        <f>K221*F221</f>
        <v>1201.7600000000002</v>
      </c>
      <c r="O221" s="12">
        <f>L221*F221</f>
        <v>2060.16</v>
      </c>
    </row>
    <row r="222" spans="1:15" x14ac:dyDescent="0.25">
      <c r="A222" s="102">
        <f>IF(Table8[[#This Row],[in-game_name]]&lt;&gt;"",ROW(A221),"")</f>
        <v>221</v>
      </c>
      <c r="B222" s="105" t="s">
        <v>80</v>
      </c>
      <c r="C222" s="92">
        <f>_xlfn.XLOOKUP(B222,Table4[in-game_name],Table4[user_number],"User Not Found")</f>
        <v>49</v>
      </c>
      <c r="D222" s="3">
        <v>44549</v>
      </c>
      <c r="E222" s="1">
        <v>1477</v>
      </c>
      <c r="F222" s="8">
        <v>1.6</v>
      </c>
      <c r="G222" s="1">
        <v>0.03</v>
      </c>
      <c r="H222" s="1">
        <v>0.27</v>
      </c>
      <c r="I222" s="1">
        <v>0.7</v>
      </c>
      <c r="J222" s="13">
        <f t="shared" si="4"/>
        <v>44.309999999999995</v>
      </c>
      <c r="K222" s="14">
        <f>E222-L222-J222</f>
        <v>398.79000000000013</v>
      </c>
      <c r="L222" s="14">
        <f>E222*I222</f>
        <v>1033.8999999999999</v>
      </c>
      <c r="M222" s="11">
        <f>J222*F222</f>
        <v>70.896000000000001</v>
      </c>
      <c r="N222" s="11">
        <f>K222*F222</f>
        <v>638.06400000000031</v>
      </c>
      <c r="O222" s="12">
        <f>L222*F222</f>
        <v>1654.2399999999998</v>
      </c>
    </row>
    <row r="223" spans="1:15" x14ac:dyDescent="0.25">
      <c r="A223" s="102">
        <f>IF(Table8[[#This Row],[in-game_name]]&lt;&gt;"",ROW(A222),"")</f>
        <v>222</v>
      </c>
      <c r="B223" s="105" t="s">
        <v>90</v>
      </c>
      <c r="C223" s="92">
        <f>_xlfn.XLOOKUP(B223,Table4[in-game_name],Table4[user_number],"User Not Found")</f>
        <v>16</v>
      </c>
      <c r="D223" s="3">
        <v>44550</v>
      </c>
      <c r="E223" s="1">
        <v>2915</v>
      </c>
      <c r="F223" s="8">
        <v>1.4</v>
      </c>
      <c r="G223" s="1">
        <v>0</v>
      </c>
      <c r="H223" s="1">
        <v>0.5</v>
      </c>
      <c r="I223" s="1">
        <v>0.5</v>
      </c>
      <c r="J223" s="13">
        <f t="shared" si="4"/>
        <v>0</v>
      </c>
      <c r="K223" s="14">
        <f>E223-L223-J223</f>
        <v>1457.5</v>
      </c>
      <c r="L223" s="14">
        <f>E223*I223</f>
        <v>1457.5</v>
      </c>
      <c r="M223" s="11">
        <f>J223*F223</f>
        <v>0</v>
      </c>
      <c r="N223" s="11">
        <f>K223*F223</f>
        <v>2040.4999999999998</v>
      </c>
      <c r="O223" s="12">
        <f>L223*F223</f>
        <v>2040.4999999999998</v>
      </c>
    </row>
    <row r="224" spans="1:15" x14ac:dyDescent="0.25">
      <c r="A224" s="102">
        <f>IF(Table8[[#This Row],[in-game_name]]&lt;&gt;"",ROW(A223),"")</f>
        <v>223</v>
      </c>
      <c r="B224" s="105" t="s">
        <v>56</v>
      </c>
      <c r="C224" s="92">
        <f>_xlfn.XLOOKUP(B224,Table4[in-game_name],Table4[user_number],"User Not Found")</f>
        <v>28</v>
      </c>
      <c r="D224" s="3">
        <v>44550</v>
      </c>
      <c r="E224" s="1">
        <v>1862</v>
      </c>
      <c r="F224" s="8">
        <v>1.4</v>
      </c>
      <c r="G224" s="1">
        <v>0.3</v>
      </c>
      <c r="H224" s="1">
        <v>0.4</v>
      </c>
      <c r="I224" s="1">
        <v>0.29999999999999993</v>
      </c>
      <c r="J224" s="13">
        <f t="shared" si="4"/>
        <v>558.6</v>
      </c>
      <c r="K224" s="14">
        <f>E224-L224-J224</f>
        <v>744.80000000000007</v>
      </c>
      <c r="L224" s="14">
        <f>E224*I224</f>
        <v>558.59999999999991</v>
      </c>
      <c r="M224" s="11">
        <f>J224*F224</f>
        <v>782.04</v>
      </c>
      <c r="N224" s="11">
        <f>K224*F224</f>
        <v>1042.72</v>
      </c>
      <c r="O224" s="12">
        <f>L224*F224</f>
        <v>782.03999999999985</v>
      </c>
    </row>
    <row r="225" spans="1:15" x14ac:dyDescent="0.25">
      <c r="A225" s="102">
        <f>IF(Table8[[#This Row],[in-game_name]]&lt;&gt;"",ROW(A224),"")</f>
        <v>224</v>
      </c>
      <c r="B225" s="105" t="s">
        <v>91</v>
      </c>
      <c r="C225" s="92">
        <f>_xlfn.XLOOKUP(B225,Table4[in-game_name],Table4[user_number],"User Not Found")</f>
        <v>33</v>
      </c>
      <c r="D225" s="3">
        <v>44550</v>
      </c>
      <c r="E225" s="1">
        <v>1492</v>
      </c>
      <c r="F225" s="8">
        <v>1.51</v>
      </c>
      <c r="G225" s="1">
        <v>0.03</v>
      </c>
      <c r="H225" s="1">
        <v>0.27</v>
      </c>
      <c r="I225" s="1">
        <v>0.7</v>
      </c>
      <c r="J225" s="13">
        <f t="shared" si="4"/>
        <v>44.76</v>
      </c>
      <c r="K225" s="14">
        <f>E225-L225-J225</f>
        <v>402.84000000000015</v>
      </c>
      <c r="L225" s="14">
        <f>E225*I225</f>
        <v>1044.3999999999999</v>
      </c>
      <c r="M225" s="11">
        <f>J225*F225</f>
        <v>67.587599999999995</v>
      </c>
      <c r="N225" s="11">
        <f>K225*F225</f>
        <v>608.28840000000025</v>
      </c>
      <c r="O225" s="12">
        <f>L225*F225</f>
        <v>1577.0439999999999</v>
      </c>
    </row>
    <row r="226" spans="1:15" x14ac:dyDescent="0.25">
      <c r="A226" s="102">
        <f>IF(Table8[[#This Row],[in-game_name]]&lt;&gt;"",ROW(A225),"")</f>
        <v>225</v>
      </c>
      <c r="B226" s="105" t="s">
        <v>47</v>
      </c>
      <c r="C226" s="92">
        <f>_xlfn.XLOOKUP(B226,Table4[in-game_name],Table4[user_number],"User Not Found")</f>
        <v>26</v>
      </c>
      <c r="D226" s="3">
        <v>44550</v>
      </c>
      <c r="E226" s="1">
        <v>1526</v>
      </c>
      <c r="F226" s="8">
        <v>1.5</v>
      </c>
      <c r="G226" s="1">
        <v>0.03</v>
      </c>
      <c r="H226" s="1">
        <v>0.27</v>
      </c>
      <c r="I226" s="1">
        <v>0.7</v>
      </c>
      <c r="J226" s="13">
        <f t="shared" si="4"/>
        <v>45.78</v>
      </c>
      <c r="K226" s="14">
        <f>E226-L226-J226</f>
        <v>412.02</v>
      </c>
      <c r="L226" s="14">
        <f>E226*I226</f>
        <v>1068.2</v>
      </c>
      <c r="M226" s="11">
        <f>J226*F226</f>
        <v>68.67</v>
      </c>
      <c r="N226" s="11">
        <f>K226*F226</f>
        <v>618.03</v>
      </c>
      <c r="O226" s="12">
        <f>L226*F226</f>
        <v>1602.3000000000002</v>
      </c>
    </row>
    <row r="227" spans="1:15" x14ac:dyDescent="0.25">
      <c r="A227" s="102">
        <f>IF(Table8[[#This Row],[in-game_name]]&lt;&gt;"",ROW(A226),"")</f>
        <v>226</v>
      </c>
      <c r="B227" s="105" t="s">
        <v>5</v>
      </c>
      <c r="C227" s="92">
        <f>_xlfn.XLOOKUP(B227,Table4[in-game_name],Table4[user_number],"User Not Found")</f>
        <v>1</v>
      </c>
      <c r="D227" s="3">
        <v>44551</v>
      </c>
      <c r="E227" s="1">
        <v>3568</v>
      </c>
      <c r="F227" s="8">
        <v>1.45</v>
      </c>
      <c r="G227" s="1">
        <v>0</v>
      </c>
      <c r="H227" s="1">
        <v>1</v>
      </c>
      <c r="I227" s="1">
        <v>0</v>
      </c>
      <c r="J227" s="13">
        <f t="shared" si="4"/>
        <v>0</v>
      </c>
      <c r="K227" s="14">
        <f>E227-L227-J227</f>
        <v>3568</v>
      </c>
      <c r="L227" s="14">
        <f>E227*I227</f>
        <v>0</v>
      </c>
      <c r="M227" s="11">
        <f>J227*F227</f>
        <v>0</v>
      </c>
      <c r="N227" s="11">
        <f>K227*F227</f>
        <v>5173.5999999999995</v>
      </c>
      <c r="O227" s="12">
        <f>L227*F227</f>
        <v>0</v>
      </c>
    </row>
    <row r="228" spans="1:15" x14ac:dyDescent="0.25">
      <c r="A228" s="102">
        <f>IF(Table8[[#This Row],[in-game_name]]&lt;&gt;"",ROW(A227),"")</f>
        <v>227</v>
      </c>
      <c r="B228" s="105" t="s">
        <v>33</v>
      </c>
      <c r="C228" s="92">
        <f>_xlfn.XLOOKUP(B228,Table4[in-game_name],Table4[user_number],"User Not Found")</f>
        <v>40</v>
      </c>
      <c r="D228" s="3">
        <v>44551</v>
      </c>
      <c r="E228" s="1">
        <v>1945</v>
      </c>
      <c r="F228" s="8">
        <v>1.4</v>
      </c>
      <c r="G228" s="1">
        <v>0.6</v>
      </c>
      <c r="H228" s="1">
        <v>0.4</v>
      </c>
      <c r="I228" s="1">
        <v>0</v>
      </c>
      <c r="J228" s="13">
        <f t="shared" si="4"/>
        <v>1167</v>
      </c>
      <c r="K228" s="14">
        <f>E228-L228-J228</f>
        <v>778</v>
      </c>
      <c r="L228" s="14">
        <f>E228*I228</f>
        <v>0</v>
      </c>
      <c r="M228" s="11">
        <f>J228*F228</f>
        <v>1633.8</v>
      </c>
      <c r="N228" s="11">
        <f>K228*F228</f>
        <v>1089.1999999999998</v>
      </c>
      <c r="O228" s="12">
        <f>L228*F228</f>
        <v>0</v>
      </c>
    </row>
    <row r="229" spans="1:15" x14ac:dyDescent="0.25">
      <c r="A229" s="102">
        <f>IF(Table8[[#This Row],[in-game_name]]&lt;&gt;"",ROW(A228),"")</f>
        <v>228</v>
      </c>
      <c r="B229" s="105" t="s">
        <v>64</v>
      </c>
      <c r="C229" s="92">
        <f>_xlfn.XLOOKUP(B229,Table4[in-game_name],Table4[user_number],"User Not Found")</f>
        <v>46</v>
      </c>
      <c r="D229" s="3">
        <v>44551</v>
      </c>
      <c r="E229" s="1">
        <v>877</v>
      </c>
      <c r="F229" s="8">
        <v>1.4</v>
      </c>
      <c r="G229" s="1">
        <v>0.03</v>
      </c>
      <c r="H229" s="1">
        <v>0.27</v>
      </c>
      <c r="I229" s="1">
        <v>0.7</v>
      </c>
      <c r="J229" s="13">
        <f t="shared" si="4"/>
        <v>26.31</v>
      </c>
      <c r="K229" s="14">
        <f>E229-L229-J229</f>
        <v>236.79000000000002</v>
      </c>
      <c r="L229" s="14">
        <f>E229*I229</f>
        <v>613.9</v>
      </c>
      <c r="M229" s="11">
        <f>J229*F229</f>
        <v>36.833999999999996</v>
      </c>
      <c r="N229" s="11">
        <f>K229*F229</f>
        <v>331.50600000000003</v>
      </c>
      <c r="O229" s="12">
        <f>L229*F229</f>
        <v>859.45999999999992</v>
      </c>
    </row>
    <row r="230" spans="1:15" x14ac:dyDescent="0.25">
      <c r="A230" s="102">
        <f>IF(Table8[[#This Row],[in-game_name]]&lt;&gt;"",ROW(A229),"")</f>
        <v>229</v>
      </c>
      <c r="B230" s="105" t="s">
        <v>52</v>
      </c>
      <c r="C230" s="92">
        <f>_xlfn.XLOOKUP(B230,Table4[in-game_name],Table4[user_number],"User Not Found")</f>
        <v>27</v>
      </c>
      <c r="D230" s="3">
        <v>44553</v>
      </c>
      <c r="E230" s="1">
        <v>239</v>
      </c>
      <c r="F230" s="8">
        <v>1.54</v>
      </c>
      <c r="G230" s="1">
        <v>0.1</v>
      </c>
      <c r="H230" s="1">
        <v>0.4</v>
      </c>
      <c r="I230" s="1">
        <v>0.5</v>
      </c>
      <c r="J230" s="13">
        <f t="shared" si="4"/>
        <v>23.900000000000002</v>
      </c>
      <c r="K230" s="14">
        <f>E230-L230-J230</f>
        <v>95.6</v>
      </c>
      <c r="L230" s="14">
        <f>E230*I230</f>
        <v>119.5</v>
      </c>
      <c r="M230" s="11">
        <f>J230*F230</f>
        <v>36.806000000000004</v>
      </c>
      <c r="N230" s="11">
        <f>K230*F230</f>
        <v>147.22399999999999</v>
      </c>
      <c r="O230" s="12">
        <f>L230*F230</f>
        <v>184.03</v>
      </c>
    </row>
    <row r="231" spans="1:15" x14ac:dyDescent="0.25">
      <c r="A231" s="102">
        <f>IF(Table8[[#This Row],[in-game_name]]&lt;&gt;"",ROW(A230),"")</f>
        <v>230</v>
      </c>
      <c r="B231" s="105" t="s">
        <v>46</v>
      </c>
      <c r="C231" s="92">
        <f>_xlfn.XLOOKUP(B231,Table4[in-game_name],Table4[user_number],"User Not Found")</f>
        <v>9</v>
      </c>
      <c r="D231" s="3">
        <v>44553</v>
      </c>
      <c r="E231" s="1">
        <v>1271</v>
      </c>
      <c r="F231" s="8">
        <v>1.54</v>
      </c>
      <c r="G231" s="1">
        <v>0.1</v>
      </c>
      <c r="H231" s="1">
        <v>0.4</v>
      </c>
      <c r="I231" s="1">
        <v>0.5</v>
      </c>
      <c r="J231" s="13">
        <f t="shared" si="4"/>
        <v>127.10000000000001</v>
      </c>
      <c r="K231" s="14">
        <f>E231-L231-J231</f>
        <v>508.4</v>
      </c>
      <c r="L231" s="14">
        <f>E231*I231</f>
        <v>635.5</v>
      </c>
      <c r="M231" s="11">
        <f>J231*F231</f>
        <v>195.73400000000001</v>
      </c>
      <c r="N231" s="11">
        <f>K231*F231</f>
        <v>782.93600000000004</v>
      </c>
      <c r="O231" s="12">
        <f>L231*F231</f>
        <v>978.67000000000007</v>
      </c>
    </row>
    <row r="232" spans="1:15" x14ac:dyDescent="0.25">
      <c r="A232" s="102">
        <f>IF(Table8[[#This Row],[in-game_name]]&lt;&gt;"",ROW(A231),"")</f>
        <v>231</v>
      </c>
      <c r="B232" s="105" t="s">
        <v>25</v>
      </c>
      <c r="C232" s="92">
        <f>_xlfn.XLOOKUP(B232,Table4[in-game_name],Table4[user_number],"User Not Found")</f>
        <v>38</v>
      </c>
      <c r="D232" s="3">
        <v>44562</v>
      </c>
      <c r="E232" s="1">
        <v>2619</v>
      </c>
      <c r="F232" s="8">
        <v>1.39</v>
      </c>
      <c r="G232" s="1">
        <v>0.1</v>
      </c>
      <c r="H232" s="1">
        <v>0.4</v>
      </c>
      <c r="I232" s="1">
        <v>0.5</v>
      </c>
      <c r="J232" s="13">
        <f t="shared" si="4"/>
        <v>261.90000000000003</v>
      </c>
      <c r="K232" s="14">
        <f>E232-L232-J232</f>
        <v>1047.5999999999999</v>
      </c>
      <c r="L232" s="14">
        <f>E232*I232</f>
        <v>1309.5</v>
      </c>
      <c r="M232" s="11">
        <f>J232*F232</f>
        <v>364.041</v>
      </c>
      <c r="N232" s="11">
        <f>K232*F232</f>
        <v>1456.1639999999998</v>
      </c>
      <c r="O232" s="12">
        <f>L232*F232</f>
        <v>1820.2049999999999</v>
      </c>
    </row>
    <row r="233" spans="1:15" x14ac:dyDescent="0.25">
      <c r="A233" s="102">
        <f>IF(Table8[[#This Row],[in-game_name]]&lt;&gt;"",ROW(A232),"")</f>
        <v>232</v>
      </c>
      <c r="B233" s="105" t="s">
        <v>42</v>
      </c>
      <c r="C233" s="92">
        <f>_xlfn.XLOOKUP(B233,Table4[in-game_name],Table4[user_number],"User Not Found")</f>
        <v>25</v>
      </c>
      <c r="D233" s="3">
        <v>44562</v>
      </c>
      <c r="E233" s="1">
        <v>1434</v>
      </c>
      <c r="F233" s="8">
        <v>1.39</v>
      </c>
      <c r="G233" s="1">
        <v>0.1</v>
      </c>
      <c r="H233" s="1">
        <v>0.4</v>
      </c>
      <c r="I233" s="1">
        <v>0.5</v>
      </c>
      <c r="J233" s="13">
        <f t="shared" si="4"/>
        <v>143.4</v>
      </c>
      <c r="K233" s="14">
        <f>E233-L233-J233</f>
        <v>573.6</v>
      </c>
      <c r="L233" s="14">
        <f>E233*I233</f>
        <v>717</v>
      </c>
      <c r="M233" s="11">
        <f>J233*F233</f>
        <v>199.32599999999999</v>
      </c>
      <c r="N233" s="11">
        <f>K233*F233</f>
        <v>797.30399999999997</v>
      </c>
      <c r="O233" s="12">
        <f>L233*F233</f>
        <v>996.62999999999988</v>
      </c>
    </row>
    <row r="234" spans="1:15" x14ac:dyDescent="0.25">
      <c r="A234" s="102">
        <f>IF(Table8[[#This Row],[in-game_name]]&lt;&gt;"",ROW(A233),"")</f>
        <v>233</v>
      </c>
      <c r="B234" s="105" t="s">
        <v>19</v>
      </c>
      <c r="C234" s="92">
        <f>_xlfn.XLOOKUP(B234,Table4[in-game_name],Table4[user_number],"User Not Found")</f>
        <v>37</v>
      </c>
      <c r="D234" s="3">
        <v>44563</v>
      </c>
      <c r="E234" s="1">
        <v>3344</v>
      </c>
      <c r="F234" s="8">
        <v>1.39</v>
      </c>
      <c r="G234" s="1">
        <v>0.15</v>
      </c>
      <c r="H234" s="1">
        <v>0.4</v>
      </c>
      <c r="I234" s="1">
        <v>0.44999999999999996</v>
      </c>
      <c r="J234" s="13">
        <f t="shared" si="4"/>
        <v>501.59999999999997</v>
      </c>
      <c r="K234" s="14">
        <f>E234-L234-J234</f>
        <v>1337.6000000000001</v>
      </c>
      <c r="L234" s="14">
        <f>E234*I234</f>
        <v>1504.8</v>
      </c>
      <c r="M234" s="11">
        <f>J234*F234</f>
        <v>697.22399999999993</v>
      </c>
      <c r="N234" s="11">
        <f>K234*F234</f>
        <v>1859.2640000000001</v>
      </c>
      <c r="O234" s="12">
        <f>L234*F234</f>
        <v>2091.6719999999996</v>
      </c>
    </row>
    <row r="235" spans="1:15" x14ac:dyDescent="0.25">
      <c r="A235" s="102">
        <f>IF(Table8[[#This Row],[in-game_name]]&lt;&gt;"",ROW(A234),"")</f>
        <v>234</v>
      </c>
      <c r="B235" s="105" t="s">
        <v>43</v>
      </c>
      <c r="C235" s="92">
        <f>_xlfn.XLOOKUP(B235,Table4[in-game_name],Table4[user_number],"User Not Found")</f>
        <v>42</v>
      </c>
      <c r="D235" s="3">
        <v>44563</v>
      </c>
      <c r="E235" s="1">
        <v>2590</v>
      </c>
      <c r="F235" s="8">
        <v>1.39</v>
      </c>
      <c r="G235" s="1">
        <v>0.08</v>
      </c>
      <c r="H235" s="1">
        <v>0.43</v>
      </c>
      <c r="I235" s="1">
        <v>0.49000000000000005</v>
      </c>
      <c r="J235" s="13">
        <f t="shared" si="4"/>
        <v>207.20000000000002</v>
      </c>
      <c r="K235" s="14">
        <f>E235-L235-J235</f>
        <v>1113.6999999999998</v>
      </c>
      <c r="L235" s="14">
        <f>E235*I235</f>
        <v>1269.1000000000001</v>
      </c>
      <c r="M235" s="11">
        <f>J235*F235</f>
        <v>288.00799999999998</v>
      </c>
      <c r="N235" s="11">
        <f>K235*F235</f>
        <v>1548.0429999999997</v>
      </c>
      <c r="O235" s="12">
        <f>L235*F235</f>
        <v>1764.049</v>
      </c>
    </row>
    <row r="236" spans="1:15" x14ac:dyDescent="0.25">
      <c r="A236" s="102">
        <f>IF(Table8[[#This Row],[in-game_name]]&lt;&gt;"",ROW(A235),"")</f>
        <v>235</v>
      </c>
      <c r="B236" s="105" t="s">
        <v>51</v>
      </c>
      <c r="C236" s="92">
        <f>_xlfn.XLOOKUP(B236,Table4[in-game_name],Table4[user_number],"User Not Found")</f>
        <v>10</v>
      </c>
      <c r="D236" s="3">
        <v>44564</v>
      </c>
      <c r="E236" s="1">
        <v>976</v>
      </c>
      <c r="F236" s="8">
        <v>1.39</v>
      </c>
      <c r="G236" s="1">
        <v>0.03</v>
      </c>
      <c r="H236" s="1">
        <v>0.37</v>
      </c>
      <c r="I236" s="1">
        <v>0.6</v>
      </c>
      <c r="J236" s="13">
        <f t="shared" si="4"/>
        <v>29.279999999999998</v>
      </c>
      <c r="K236" s="14">
        <f>E236-L236-J236</f>
        <v>361.12</v>
      </c>
      <c r="L236" s="14">
        <f>E236*I236</f>
        <v>585.6</v>
      </c>
      <c r="M236" s="11">
        <f>J236*F236</f>
        <v>40.69919999999999</v>
      </c>
      <c r="N236" s="11">
        <f>K236*F236</f>
        <v>501.95679999999999</v>
      </c>
      <c r="O236" s="12">
        <f>L236*F236</f>
        <v>813.98399999999992</v>
      </c>
    </row>
    <row r="237" spans="1:15" x14ac:dyDescent="0.25">
      <c r="A237" s="102">
        <f>IF(Table8[[#This Row],[in-game_name]]&lt;&gt;"",ROW(A236),"")</f>
        <v>236</v>
      </c>
      <c r="B237" s="105" t="s">
        <v>90</v>
      </c>
      <c r="C237" s="92">
        <f>_xlfn.XLOOKUP(B237,Table4[in-game_name],Table4[user_number],"User Not Found")</f>
        <v>16</v>
      </c>
      <c r="D237" s="3">
        <v>44564</v>
      </c>
      <c r="E237" s="1">
        <v>2755</v>
      </c>
      <c r="F237" s="8">
        <v>1.39</v>
      </c>
      <c r="G237" s="1">
        <v>0</v>
      </c>
      <c r="H237" s="1">
        <v>0.5</v>
      </c>
      <c r="I237" s="1">
        <v>0.5</v>
      </c>
      <c r="J237" s="13">
        <f t="shared" si="4"/>
        <v>0</v>
      </c>
      <c r="K237" s="14">
        <f>E237-L237-J237</f>
        <v>1377.5</v>
      </c>
      <c r="L237" s="14">
        <f>E237*I237</f>
        <v>1377.5</v>
      </c>
      <c r="M237" s="11">
        <f>J237*F237</f>
        <v>0</v>
      </c>
      <c r="N237" s="11">
        <f>K237*F237</f>
        <v>1914.7249999999999</v>
      </c>
      <c r="O237" s="12">
        <f>L237*F237</f>
        <v>1914.7249999999999</v>
      </c>
    </row>
    <row r="238" spans="1:15" x14ac:dyDescent="0.25">
      <c r="A238" s="102">
        <f>IF(Table8[[#This Row],[in-game_name]]&lt;&gt;"",ROW(A237),"")</f>
        <v>237</v>
      </c>
      <c r="B238" s="105" t="s">
        <v>38</v>
      </c>
      <c r="C238" s="92">
        <f>_xlfn.XLOOKUP(B238,Table4[in-game_name],Table4[user_number],"User Not Found")</f>
        <v>41</v>
      </c>
      <c r="D238" s="3">
        <v>44564</v>
      </c>
      <c r="E238" s="1">
        <v>2770</v>
      </c>
      <c r="F238" s="8">
        <v>1.39</v>
      </c>
      <c r="G238" s="1">
        <v>0.1</v>
      </c>
      <c r="H238" s="1">
        <v>0.4</v>
      </c>
      <c r="I238" s="1">
        <v>0.5</v>
      </c>
      <c r="J238" s="13">
        <f t="shared" si="4"/>
        <v>277</v>
      </c>
      <c r="K238" s="14">
        <f>E238-L238-J238</f>
        <v>1108</v>
      </c>
      <c r="L238" s="14">
        <f>E238*I238</f>
        <v>1385</v>
      </c>
      <c r="M238" s="11">
        <f>J238*F238</f>
        <v>385.03</v>
      </c>
      <c r="N238" s="11">
        <f>K238*F238</f>
        <v>1540.12</v>
      </c>
      <c r="O238" s="12">
        <f>L238*F238</f>
        <v>1925.1499999999999</v>
      </c>
    </row>
    <row r="239" spans="1:15" x14ac:dyDescent="0.25">
      <c r="A239" s="102">
        <f>IF(Table8[[#This Row],[in-game_name]]&lt;&gt;"",ROW(A238),"")</f>
        <v>238</v>
      </c>
      <c r="B239" s="105" t="s">
        <v>7</v>
      </c>
      <c r="C239" s="92">
        <f>_xlfn.XLOOKUP(B239,Table4[in-game_name],Table4[user_number],"User Not Found")</f>
        <v>35</v>
      </c>
      <c r="D239" s="3">
        <v>44564</v>
      </c>
      <c r="E239" s="1">
        <v>1691</v>
      </c>
      <c r="F239" s="8">
        <v>1.39</v>
      </c>
      <c r="G239" s="1">
        <v>0.05</v>
      </c>
      <c r="H239" s="1">
        <v>0.45</v>
      </c>
      <c r="I239" s="1">
        <v>0.49999999999999994</v>
      </c>
      <c r="J239" s="13">
        <f t="shared" si="4"/>
        <v>84.550000000000011</v>
      </c>
      <c r="K239" s="14">
        <f>E239-L239-J239</f>
        <v>760.95</v>
      </c>
      <c r="L239" s="14">
        <f>E239*I239</f>
        <v>845.49999999999989</v>
      </c>
      <c r="M239" s="11">
        <f>J239*F239</f>
        <v>117.5245</v>
      </c>
      <c r="N239" s="11">
        <f>K239*F239</f>
        <v>1057.7204999999999</v>
      </c>
      <c r="O239" s="12">
        <f>L239*F239</f>
        <v>1175.2449999999997</v>
      </c>
    </row>
    <row r="240" spans="1:15" x14ac:dyDescent="0.25">
      <c r="A240" s="102">
        <f>IF(Table8[[#This Row],[in-game_name]]&lt;&gt;"",ROW(A239),"")</f>
        <v>239</v>
      </c>
      <c r="B240" s="105" t="s">
        <v>78</v>
      </c>
      <c r="C240" s="92">
        <f>_xlfn.XLOOKUP(B240,Table4[in-game_name],Table4[user_number],"User Not Found")</f>
        <v>15</v>
      </c>
      <c r="D240" s="3">
        <v>44564</v>
      </c>
      <c r="E240" s="1">
        <v>969</v>
      </c>
      <c r="F240" s="8">
        <v>1.39</v>
      </c>
      <c r="G240" s="1">
        <v>0</v>
      </c>
      <c r="H240" s="1">
        <v>0.3</v>
      </c>
      <c r="I240" s="1">
        <v>0.7</v>
      </c>
      <c r="J240" s="13">
        <f t="shared" si="4"/>
        <v>0</v>
      </c>
      <c r="K240" s="14">
        <f>E240-L240-J240</f>
        <v>290.70000000000005</v>
      </c>
      <c r="L240" s="14">
        <f>E240*I240</f>
        <v>678.3</v>
      </c>
      <c r="M240" s="11">
        <f>J240*F240</f>
        <v>0</v>
      </c>
      <c r="N240" s="11">
        <f>K240*F240</f>
        <v>404.07300000000004</v>
      </c>
      <c r="O240" s="12">
        <f>L240*F240</f>
        <v>942.83699999999988</v>
      </c>
    </row>
    <row r="241" spans="1:15" x14ac:dyDescent="0.25">
      <c r="A241" s="102">
        <f>IF(Table8[[#This Row],[in-game_name]]&lt;&gt;"",ROW(A240),"")</f>
        <v>240</v>
      </c>
      <c r="B241" s="105" t="s">
        <v>28</v>
      </c>
      <c r="C241" s="92">
        <f>_xlfn.XLOOKUP(B241,Table4[in-game_name],Table4[user_number],"User Not Found")</f>
        <v>22</v>
      </c>
      <c r="D241" s="3">
        <v>44564</v>
      </c>
      <c r="E241" s="1">
        <v>2438</v>
      </c>
      <c r="F241" s="8">
        <v>1.39</v>
      </c>
      <c r="G241" s="1">
        <v>0.03</v>
      </c>
      <c r="H241" s="1">
        <v>0.37</v>
      </c>
      <c r="I241" s="1">
        <v>0.6</v>
      </c>
      <c r="J241" s="13">
        <f t="shared" si="4"/>
        <v>73.14</v>
      </c>
      <c r="K241" s="14">
        <f>E241-L241-J241</f>
        <v>902.06000000000006</v>
      </c>
      <c r="L241" s="14">
        <f>E241*I241</f>
        <v>1462.8</v>
      </c>
      <c r="M241" s="11">
        <f>J241*F241</f>
        <v>101.66459999999999</v>
      </c>
      <c r="N241" s="11">
        <f>K241*F241</f>
        <v>1253.8634</v>
      </c>
      <c r="O241" s="12">
        <f>L241*F241</f>
        <v>2033.2919999999997</v>
      </c>
    </row>
    <row r="242" spans="1:15" x14ac:dyDescent="0.25">
      <c r="A242" s="102">
        <f>IF(Table8[[#This Row],[in-game_name]]&lt;&gt;"",ROW(A241),"")</f>
        <v>241</v>
      </c>
      <c r="B242" s="105" t="s">
        <v>71</v>
      </c>
      <c r="C242" s="92">
        <f>_xlfn.XLOOKUP(B242,Table4[in-game_name],Table4[user_number],"User Not Found")</f>
        <v>30</v>
      </c>
      <c r="D242" s="3">
        <v>44564</v>
      </c>
      <c r="E242" s="1">
        <v>1533</v>
      </c>
      <c r="F242" s="8">
        <v>1.39</v>
      </c>
      <c r="G242" s="1">
        <v>0.03</v>
      </c>
      <c r="H242" s="1">
        <v>0.27</v>
      </c>
      <c r="I242" s="1">
        <v>0.7</v>
      </c>
      <c r="J242" s="13">
        <f t="shared" si="4"/>
        <v>45.989999999999995</v>
      </c>
      <c r="K242" s="14">
        <f>E242-L242-J242</f>
        <v>413.91000000000008</v>
      </c>
      <c r="L242" s="14">
        <f>E242*I242</f>
        <v>1073.0999999999999</v>
      </c>
      <c r="M242" s="11">
        <f>J242*F242</f>
        <v>63.926099999999991</v>
      </c>
      <c r="N242" s="11">
        <f>K242*F242</f>
        <v>575.33490000000006</v>
      </c>
      <c r="O242" s="12">
        <f>L242*F242</f>
        <v>1491.6089999999997</v>
      </c>
    </row>
    <row r="243" spans="1:15" x14ac:dyDescent="0.25">
      <c r="A243" s="102">
        <f>IF(Table8[[#This Row],[in-game_name]]&lt;&gt;"",ROW(A242),"")</f>
        <v>242</v>
      </c>
      <c r="B243" s="105" t="s">
        <v>91</v>
      </c>
      <c r="C243" s="92">
        <f>_xlfn.XLOOKUP(B243,Table4[in-game_name],Table4[user_number],"User Not Found")</f>
        <v>33</v>
      </c>
      <c r="D243" s="3">
        <v>44564</v>
      </c>
      <c r="E243" s="1">
        <v>1091</v>
      </c>
      <c r="F243" s="8">
        <v>1.39</v>
      </c>
      <c r="G243" s="1">
        <v>0.03</v>
      </c>
      <c r="H243" s="1">
        <v>0.27</v>
      </c>
      <c r="I243" s="1">
        <v>0.7</v>
      </c>
      <c r="J243" s="13">
        <f t="shared" si="4"/>
        <v>32.729999999999997</v>
      </c>
      <c r="K243" s="14">
        <f>E243-L243-J243</f>
        <v>294.57000000000005</v>
      </c>
      <c r="L243" s="14">
        <f>E243*I243</f>
        <v>763.69999999999993</v>
      </c>
      <c r="M243" s="11">
        <f>J243*F243</f>
        <v>45.494699999999995</v>
      </c>
      <c r="N243" s="11">
        <f>K243*F243</f>
        <v>409.45230000000004</v>
      </c>
      <c r="O243" s="12">
        <f>L243*F243</f>
        <v>1061.5429999999999</v>
      </c>
    </row>
    <row r="244" spans="1:15" x14ac:dyDescent="0.25">
      <c r="A244" s="102">
        <f>IF(Table8[[#This Row],[in-game_name]]&lt;&gt;"",ROW(A243),"")</f>
        <v>243</v>
      </c>
      <c r="B244" s="105" t="s">
        <v>79</v>
      </c>
      <c r="C244" s="92">
        <f>_xlfn.XLOOKUP(B244,Table4[in-game_name],Table4[user_number],"User Not Found")</f>
        <v>32</v>
      </c>
      <c r="D244" s="3">
        <v>44564</v>
      </c>
      <c r="E244" s="1">
        <v>1266</v>
      </c>
      <c r="F244" s="8">
        <v>1.39</v>
      </c>
      <c r="G244" s="1">
        <v>0.03</v>
      </c>
      <c r="H244" s="1">
        <v>0.27</v>
      </c>
      <c r="I244" s="1">
        <v>0.7</v>
      </c>
      <c r="J244" s="13">
        <f t="shared" si="4"/>
        <v>37.979999999999997</v>
      </c>
      <c r="K244" s="14">
        <f>E244-L244-J244</f>
        <v>341.82000000000005</v>
      </c>
      <c r="L244" s="14">
        <f>E244*I244</f>
        <v>886.19999999999993</v>
      </c>
      <c r="M244" s="11">
        <f>J244*F244</f>
        <v>52.792199999999994</v>
      </c>
      <c r="N244" s="11">
        <f>K244*F244</f>
        <v>475.12980000000005</v>
      </c>
      <c r="O244" s="12">
        <f>L244*F244</f>
        <v>1231.8179999999998</v>
      </c>
    </row>
    <row r="245" spans="1:15" x14ac:dyDescent="0.25">
      <c r="A245" s="102">
        <f>IF(Table8[[#This Row],[in-game_name]]&lt;&gt;"",ROW(A244),"")</f>
        <v>244</v>
      </c>
      <c r="B245" s="105" t="s">
        <v>23</v>
      </c>
      <c r="C245" s="92">
        <f>_xlfn.XLOOKUP(B245,Table4[in-game_name],Table4[user_number],"User Not Found")</f>
        <v>4</v>
      </c>
      <c r="D245" s="3">
        <v>44564</v>
      </c>
      <c r="E245" s="1">
        <v>147</v>
      </c>
      <c r="F245" s="8">
        <v>1.39</v>
      </c>
      <c r="G245" s="1">
        <v>0.03</v>
      </c>
      <c r="H245" s="1">
        <v>0.27</v>
      </c>
      <c r="I245" s="1">
        <v>0.7</v>
      </c>
      <c r="J245" s="13">
        <f t="shared" si="4"/>
        <v>4.41</v>
      </c>
      <c r="K245" s="14">
        <f>E245-L245-J245</f>
        <v>39.690000000000012</v>
      </c>
      <c r="L245" s="14">
        <f>E245*I245</f>
        <v>102.89999999999999</v>
      </c>
      <c r="M245" s="11">
        <f>J245*F245</f>
        <v>6.1299000000000001</v>
      </c>
      <c r="N245" s="11">
        <f>K245*F245</f>
        <v>55.169100000000014</v>
      </c>
      <c r="O245" s="12">
        <f>L245*F245</f>
        <v>143.03099999999998</v>
      </c>
    </row>
    <row r="246" spans="1:15" x14ac:dyDescent="0.25">
      <c r="A246" s="102">
        <f>IF(Table8[[#This Row],[in-game_name]]&lt;&gt;"",ROW(A245),"")</f>
        <v>245</v>
      </c>
      <c r="B246" s="105" t="s">
        <v>74</v>
      </c>
      <c r="C246" s="92">
        <f>_xlfn.XLOOKUP(B246,Table4[in-game_name],Table4[user_number],"User Not Found")</f>
        <v>14</v>
      </c>
      <c r="D246" s="3">
        <v>44564</v>
      </c>
      <c r="E246" s="1">
        <v>7039</v>
      </c>
      <c r="F246" s="8">
        <v>1.39</v>
      </c>
      <c r="G246" s="1">
        <v>0.13</v>
      </c>
      <c r="H246" s="1">
        <v>0.47</v>
      </c>
      <c r="I246" s="1">
        <v>0.4</v>
      </c>
      <c r="J246" s="13">
        <f t="shared" si="4"/>
        <v>915.07</v>
      </c>
      <c r="K246" s="14">
        <f>E246-L246-J246</f>
        <v>3308.3299999999995</v>
      </c>
      <c r="L246" s="14">
        <f>E246*I246</f>
        <v>2815.6000000000004</v>
      </c>
      <c r="M246" s="11">
        <f>J246*F246</f>
        <v>1271.9473</v>
      </c>
      <c r="N246" s="11">
        <f>K246*F246</f>
        <v>4598.5786999999991</v>
      </c>
      <c r="O246" s="12">
        <f>L246*F246</f>
        <v>3913.6840000000002</v>
      </c>
    </row>
    <row r="247" spans="1:15" x14ac:dyDescent="0.25">
      <c r="A247" s="102">
        <f>IF(Table8[[#This Row],[in-game_name]]&lt;&gt;"",ROW(A246),"")</f>
        <v>246</v>
      </c>
      <c r="B247" s="105" t="s">
        <v>62</v>
      </c>
      <c r="C247" s="92">
        <f>_xlfn.XLOOKUP(B247,Table4[in-game_name],Table4[user_number],"User Not Found")</f>
        <v>12</v>
      </c>
      <c r="D247" s="3">
        <v>44564</v>
      </c>
      <c r="E247" s="1">
        <v>744</v>
      </c>
      <c r="F247" s="8">
        <v>1.39</v>
      </c>
      <c r="G247" s="1">
        <v>0.65</v>
      </c>
      <c r="H247" s="1">
        <v>0.35</v>
      </c>
      <c r="I247" s="1">
        <v>0</v>
      </c>
      <c r="J247" s="13">
        <f t="shared" si="4"/>
        <v>483.6</v>
      </c>
      <c r="K247" s="14">
        <f>E247-L247-J247</f>
        <v>260.39999999999998</v>
      </c>
      <c r="L247" s="14">
        <f>E247*I247</f>
        <v>0</v>
      </c>
      <c r="M247" s="11">
        <f>J247*F247</f>
        <v>672.20399999999995</v>
      </c>
      <c r="N247" s="11">
        <f>K247*F247</f>
        <v>361.95599999999996</v>
      </c>
      <c r="O247" s="12">
        <f>L247*F247</f>
        <v>0</v>
      </c>
    </row>
    <row r="248" spans="1:15" x14ac:dyDescent="0.25">
      <c r="A248" s="102">
        <f>IF(Table8[[#This Row],[in-game_name]]&lt;&gt;"",ROW(A247),"")</f>
        <v>247</v>
      </c>
      <c r="B248" s="105" t="s">
        <v>48</v>
      </c>
      <c r="C248" s="92">
        <f>_xlfn.XLOOKUP(B248,Table4[in-game_name],Table4[user_number],"User Not Found")</f>
        <v>43</v>
      </c>
      <c r="D248" s="3">
        <v>44564</v>
      </c>
      <c r="E248" s="1">
        <v>914</v>
      </c>
      <c r="F248" s="8">
        <v>1.39</v>
      </c>
      <c r="G248" s="1">
        <v>0.03</v>
      </c>
      <c r="H248" s="1">
        <v>0.37</v>
      </c>
      <c r="I248" s="1">
        <v>0.6</v>
      </c>
      <c r="J248" s="13">
        <f t="shared" si="4"/>
        <v>27.419999999999998</v>
      </c>
      <c r="K248" s="14">
        <f>E248-L248-J248</f>
        <v>338.18</v>
      </c>
      <c r="L248" s="14">
        <f>E248*I248</f>
        <v>548.4</v>
      </c>
      <c r="M248" s="11">
        <f>J248*F248</f>
        <v>38.113799999999998</v>
      </c>
      <c r="N248" s="11">
        <f>K248*F248</f>
        <v>470.0702</v>
      </c>
      <c r="O248" s="12">
        <f>L248*F248</f>
        <v>762.27599999999995</v>
      </c>
    </row>
    <row r="249" spans="1:15" x14ac:dyDescent="0.25">
      <c r="A249" s="102">
        <f>IF(Table8[[#This Row],[in-game_name]]&lt;&gt;"",ROW(A248),"")</f>
        <v>248</v>
      </c>
      <c r="B249" s="105" t="s">
        <v>46</v>
      </c>
      <c r="C249" s="92">
        <f>_xlfn.XLOOKUP(B249,Table4[in-game_name],Table4[user_number],"User Not Found")</f>
        <v>9</v>
      </c>
      <c r="D249" s="3">
        <v>44564</v>
      </c>
      <c r="E249" s="1">
        <v>1402</v>
      </c>
      <c r="F249" s="8">
        <v>1.39</v>
      </c>
      <c r="G249" s="1">
        <v>0.6</v>
      </c>
      <c r="H249" s="1">
        <v>0.4</v>
      </c>
      <c r="I249" s="1">
        <v>0</v>
      </c>
      <c r="J249" s="13">
        <f t="shared" si="4"/>
        <v>841.19999999999993</v>
      </c>
      <c r="K249" s="14">
        <f>E249-L249-J249</f>
        <v>560.80000000000007</v>
      </c>
      <c r="L249" s="14">
        <f>E249*I249</f>
        <v>0</v>
      </c>
      <c r="M249" s="11">
        <f>J249*F249</f>
        <v>1169.2679999999998</v>
      </c>
      <c r="N249" s="11">
        <f>K249*F249</f>
        <v>779.51200000000006</v>
      </c>
      <c r="O249" s="12">
        <f>L249*F249</f>
        <v>0</v>
      </c>
    </row>
    <row r="250" spans="1:15" x14ac:dyDescent="0.25">
      <c r="A250" s="102">
        <f>IF(Table8[[#This Row],[in-game_name]]&lt;&gt;"",ROW(A249),"")</f>
        <v>249</v>
      </c>
      <c r="B250" s="105" t="s">
        <v>75</v>
      </c>
      <c r="C250" s="92">
        <f>_xlfn.XLOOKUP(B250,Table4[in-game_name],Table4[user_number],"User Not Found")</f>
        <v>31</v>
      </c>
      <c r="D250" s="3">
        <v>44565</v>
      </c>
      <c r="E250" s="1">
        <v>902</v>
      </c>
      <c r="F250" s="8">
        <v>1.35</v>
      </c>
      <c r="G250" s="1">
        <v>0.65</v>
      </c>
      <c r="H250" s="1">
        <v>0.35</v>
      </c>
      <c r="I250" s="1">
        <v>0</v>
      </c>
      <c r="J250" s="13">
        <f t="shared" si="4"/>
        <v>586.30000000000007</v>
      </c>
      <c r="K250" s="14">
        <f>E250-L250-J250</f>
        <v>315.69999999999993</v>
      </c>
      <c r="L250" s="14">
        <f>E250*I250</f>
        <v>0</v>
      </c>
      <c r="M250" s="11">
        <f>J250*F250</f>
        <v>791.50500000000011</v>
      </c>
      <c r="N250" s="11">
        <f>K250*F250</f>
        <v>426.19499999999994</v>
      </c>
      <c r="O250" s="12">
        <f>L250*F250</f>
        <v>0</v>
      </c>
    </row>
    <row r="251" spans="1:15" x14ac:dyDescent="0.25">
      <c r="A251" s="102">
        <f>IF(Table8[[#This Row],[in-game_name]]&lt;&gt;"",ROW(A250),"")</f>
        <v>250</v>
      </c>
      <c r="B251" s="105" t="s">
        <v>74</v>
      </c>
      <c r="C251" s="92">
        <f>_xlfn.XLOOKUP(B251,Table4[in-game_name],Table4[user_number],"User Not Found")</f>
        <v>14</v>
      </c>
      <c r="D251" s="3">
        <v>44565</v>
      </c>
      <c r="E251" s="1">
        <v>4184</v>
      </c>
      <c r="F251" s="8">
        <v>1.35</v>
      </c>
      <c r="G251" s="1">
        <v>0.13</v>
      </c>
      <c r="H251" s="1">
        <v>0.47</v>
      </c>
      <c r="I251" s="1">
        <v>0.4</v>
      </c>
      <c r="J251" s="13">
        <f t="shared" si="4"/>
        <v>543.92000000000007</v>
      </c>
      <c r="K251" s="14">
        <f>E251-L251-J251</f>
        <v>1966.4799999999996</v>
      </c>
      <c r="L251" s="14">
        <f>E251*I251</f>
        <v>1673.6000000000001</v>
      </c>
      <c r="M251" s="11">
        <f>J251*F251</f>
        <v>734.29200000000014</v>
      </c>
      <c r="N251" s="11">
        <f>K251*F251</f>
        <v>2654.7479999999996</v>
      </c>
      <c r="O251" s="12">
        <f>L251*F251</f>
        <v>2259.36</v>
      </c>
    </row>
    <row r="252" spans="1:15" x14ac:dyDescent="0.25">
      <c r="A252" s="102">
        <f>IF(Table8[[#This Row],[in-game_name]]&lt;&gt;"",ROW(A251),"")</f>
        <v>251</v>
      </c>
      <c r="B252" s="105" t="s">
        <v>33</v>
      </c>
      <c r="C252" s="92">
        <f>_xlfn.XLOOKUP(B252,Table4[in-game_name],Table4[user_number],"User Not Found")</f>
        <v>40</v>
      </c>
      <c r="D252" s="3">
        <v>44565</v>
      </c>
      <c r="E252" s="1">
        <v>1676</v>
      </c>
      <c r="F252" s="8">
        <v>1.35</v>
      </c>
      <c r="G252" s="1">
        <v>0.6</v>
      </c>
      <c r="H252" s="1">
        <v>0.4</v>
      </c>
      <c r="I252" s="1">
        <v>0</v>
      </c>
      <c r="J252" s="13">
        <f t="shared" si="4"/>
        <v>1005.5999999999999</v>
      </c>
      <c r="K252" s="14">
        <f>E252-L252-J252</f>
        <v>670.40000000000009</v>
      </c>
      <c r="L252" s="14">
        <f>E252*I252</f>
        <v>0</v>
      </c>
      <c r="M252" s="11">
        <f>J252*F252</f>
        <v>1357.56</v>
      </c>
      <c r="N252" s="11">
        <f>K252*F252</f>
        <v>905.04000000000019</v>
      </c>
      <c r="O252" s="12">
        <f>L252*F252</f>
        <v>0</v>
      </c>
    </row>
    <row r="253" spans="1:15" x14ac:dyDescent="0.25">
      <c r="A253" s="102">
        <f>IF(Table8[[#This Row],[in-game_name]]&lt;&gt;"",ROW(A252),"")</f>
        <v>252</v>
      </c>
      <c r="B253" s="105" t="s">
        <v>56</v>
      </c>
      <c r="C253" s="92">
        <f>_xlfn.XLOOKUP(B253,Table4[in-game_name],Table4[user_number],"User Not Found")</f>
        <v>28</v>
      </c>
      <c r="D253" s="3">
        <v>44569</v>
      </c>
      <c r="E253" s="1">
        <v>2932</v>
      </c>
      <c r="F253" s="8">
        <v>1.01</v>
      </c>
      <c r="G253" s="1">
        <v>0.2</v>
      </c>
      <c r="H253" s="1">
        <v>0.4</v>
      </c>
      <c r="I253" s="1">
        <v>0.4</v>
      </c>
      <c r="J253" s="13">
        <f t="shared" si="4"/>
        <v>586.4</v>
      </c>
      <c r="K253" s="14">
        <f>E253-L253-J253</f>
        <v>1172.8000000000002</v>
      </c>
      <c r="L253" s="14">
        <f>E253*I253</f>
        <v>1172.8</v>
      </c>
      <c r="M253" s="11">
        <f>J253*F253</f>
        <v>592.26400000000001</v>
      </c>
      <c r="N253" s="11">
        <f>K253*F253</f>
        <v>1184.5280000000002</v>
      </c>
      <c r="O253" s="12">
        <f>L253*F253</f>
        <v>1184.528</v>
      </c>
    </row>
    <row r="254" spans="1:15" x14ac:dyDescent="0.25">
      <c r="A254" s="102">
        <f>IF(Table8[[#This Row],[in-game_name]]&lt;&gt;"",ROW(A253),"")</f>
        <v>253</v>
      </c>
      <c r="B254" s="105" t="s">
        <v>41</v>
      </c>
      <c r="C254" s="92">
        <f>_xlfn.XLOOKUP(B254,Table4[in-game_name],Table4[user_number],"User Not Found")</f>
        <v>8</v>
      </c>
      <c r="D254" s="3">
        <v>44570</v>
      </c>
      <c r="E254" s="1">
        <v>3335</v>
      </c>
      <c r="F254" s="8">
        <v>0.92</v>
      </c>
      <c r="G254" s="1">
        <v>0.3</v>
      </c>
      <c r="H254" s="1">
        <v>0.4</v>
      </c>
      <c r="I254" s="1">
        <v>0.29999999999999993</v>
      </c>
      <c r="J254" s="13">
        <f t="shared" si="4"/>
        <v>1000.5</v>
      </c>
      <c r="K254" s="14">
        <f>E254-L254-J254</f>
        <v>1334</v>
      </c>
      <c r="L254" s="14">
        <f>E254*I254</f>
        <v>1000.4999999999998</v>
      </c>
      <c r="M254" s="11">
        <f>J254*F254</f>
        <v>920.46</v>
      </c>
      <c r="N254" s="11">
        <f>K254*F254</f>
        <v>1227.28</v>
      </c>
      <c r="O254" s="12">
        <f>L254*F254</f>
        <v>920.45999999999981</v>
      </c>
    </row>
    <row r="255" spans="1:15" x14ac:dyDescent="0.25">
      <c r="A255" s="102">
        <f>IF(Table8[[#This Row],[in-game_name]]&lt;&gt;"",ROW(A254),"")</f>
        <v>254</v>
      </c>
      <c r="B255" s="105" t="s">
        <v>31</v>
      </c>
      <c r="C255" s="92">
        <f>_xlfn.XLOOKUP(B255,Table4[in-game_name],Table4[user_number],"User Not Found")</f>
        <v>6</v>
      </c>
      <c r="D255" s="3">
        <v>44574</v>
      </c>
      <c r="E255" s="1">
        <v>601</v>
      </c>
      <c r="F255" s="8">
        <v>0.92</v>
      </c>
      <c r="G255" s="1">
        <v>0.03</v>
      </c>
      <c r="H255" s="1">
        <v>0.37</v>
      </c>
      <c r="I255" s="1">
        <v>0.6</v>
      </c>
      <c r="J255" s="13">
        <f t="shared" si="4"/>
        <v>18.029999999999998</v>
      </c>
      <c r="K255" s="14">
        <f>E255-L255-J255</f>
        <v>222.37000000000003</v>
      </c>
      <c r="L255" s="14">
        <f>E255*I255</f>
        <v>360.59999999999997</v>
      </c>
      <c r="M255" s="11">
        <f>J255*F255</f>
        <v>16.587599999999998</v>
      </c>
      <c r="N255" s="11">
        <f>K255*F255</f>
        <v>204.58040000000003</v>
      </c>
      <c r="O255" s="12">
        <f>L255*F255</f>
        <v>331.75200000000001</v>
      </c>
    </row>
    <row r="256" spans="1:15" x14ac:dyDescent="0.25">
      <c r="A256" s="102">
        <f>IF(Table8[[#This Row],[in-game_name]]&lt;&gt;"",ROW(A255),"")</f>
        <v>255</v>
      </c>
      <c r="B256" s="105" t="s">
        <v>93</v>
      </c>
      <c r="C256" s="92">
        <f>_xlfn.XLOOKUP(B256,Table4[in-game_name],Table4[user_number],"User Not Found")</f>
        <v>34</v>
      </c>
      <c r="D256" s="3">
        <v>44574</v>
      </c>
      <c r="E256" s="1">
        <v>77</v>
      </c>
      <c r="F256" s="8">
        <v>0.92</v>
      </c>
      <c r="G256" s="1">
        <v>0.03</v>
      </c>
      <c r="H256" s="1">
        <v>0.37</v>
      </c>
      <c r="I256" s="1">
        <v>0.6</v>
      </c>
      <c r="J256" s="13">
        <f t="shared" si="4"/>
        <v>2.31</v>
      </c>
      <c r="K256" s="14">
        <f>E256-L256-J256</f>
        <v>28.490000000000006</v>
      </c>
      <c r="L256" s="14">
        <f>E256*I256</f>
        <v>46.199999999999996</v>
      </c>
      <c r="M256" s="11">
        <f>J256*F256</f>
        <v>2.1252</v>
      </c>
      <c r="N256" s="11">
        <f>K256*F256</f>
        <v>26.210800000000006</v>
      </c>
      <c r="O256" s="12">
        <f>L256*F256</f>
        <v>42.503999999999998</v>
      </c>
    </row>
    <row r="257" spans="1:15" x14ac:dyDescent="0.25">
      <c r="A257" s="102">
        <f>IF(Table8[[#This Row],[in-game_name]]&lt;&gt;"",ROW(A256),"")</f>
        <v>256</v>
      </c>
      <c r="B257" s="105" t="s">
        <v>70</v>
      </c>
      <c r="C257" s="92">
        <f>_xlfn.XLOOKUP(B257,Table4[in-game_name],Table4[user_number],"User Not Found")</f>
        <v>13</v>
      </c>
      <c r="D257" s="3">
        <v>44574</v>
      </c>
      <c r="E257" s="1">
        <v>388</v>
      </c>
      <c r="F257" s="8">
        <v>0.92</v>
      </c>
      <c r="G257" s="1">
        <v>0.03</v>
      </c>
      <c r="H257" s="1">
        <v>0.37</v>
      </c>
      <c r="I257" s="1">
        <v>0.6</v>
      </c>
      <c r="J257" s="13">
        <f t="shared" si="4"/>
        <v>11.639999999999999</v>
      </c>
      <c r="K257" s="14">
        <f>E257-L257-J257</f>
        <v>143.56000000000003</v>
      </c>
      <c r="L257" s="14">
        <f>E257*I257</f>
        <v>232.79999999999998</v>
      </c>
      <c r="M257" s="11">
        <f>J257*F257</f>
        <v>10.7088</v>
      </c>
      <c r="N257" s="11">
        <f>K257*F257</f>
        <v>132.07520000000002</v>
      </c>
      <c r="O257" s="12">
        <f>L257*F257</f>
        <v>214.17599999999999</v>
      </c>
    </row>
    <row r="258" spans="1:15" x14ac:dyDescent="0.25">
      <c r="A258" s="102">
        <f>IF(Table8[[#This Row],[in-game_name]]&lt;&gt;"",ROW(A257),"")</f>
        <v>257</v>
      </c>
      <c r="B258" s="105" t="s">
        <v>5</v>
      </c>
      <c r="C258" s="92">
        <f>_xlfn.XLOOKUP(B258,Table4[in-game_name],Table4[user_number],"User Not Found")</f>
        <v>1</v>
      </c>
      <c r="D258" s="3">
        <v>44575</v>
      </c>
      <c r="E258" s="1">
        <v>4705</v>
      </c>
      <c r="F258" s="8">
        <v>0.98</v>
      </c>
      <c r="G258" s="1">
        <v>0</v>
      </c>
      <c r="H258" s="1">
        <v>1</v>
      </c>
      <c r="I258" s="1">
        <v>0</v>
      </c>
      <c r="J258" s="13">
        <f t="shared" ref="J258:J301" si="5">E258*G258</f>
        <v>0</v>
      </c>
      <c r="K258" s="14">
        <f>E258-L258-J258</f>
        <v>4705</v>
      </c>
      <c r="L258" s="14">
        <f>E258*I258</f>
        <v>0</v>
      </c>
      <c r="M258" s="11">
        <f>J258*F258</f>
        <v>0</v>
      </c>
      <c r="N258" s="11">
        <f>K258*F258</f>
        <v>4610.8999999999996</v>
      </c>
      <c r="O258" s="12">
        <f>L258*F258</f>
        <v>0</v>
      </c>
    </row>
    <row r="259" spans="1:15" x14ac:dyDescent="0.25">
      <c r="A259" s="102">
        <f>IF(Table8[[#This Row],[in-game_name]]&lt;&gt;"",ROW(A258),"")</f>
        <v>258</v>
      </c>
      <c r="B259" s="105" t="s">
        <v>29</v>
      </c>
      <c r="C259" s="92">
        <f>_xlfn.XLOOKUP(B259,Table4[in-game_name],Table4[user_number],"User Not Found")</f>
        <v>39</v>
      </c>
      <c r="D259" s="3">
        <v>44575</v>
      </c>
      <c r="E259" s="1">
        <v>1943</v>
      </c>
      <c r="F259" s="8">
        <v>0.98</v>
      </c>
      <c r="G259" s="1">
        <v>0.05</v>
      </c>
      <c r="H259" s="1">
        <v>0.45</v>
      </c>
      <c r="I259" s="1">
        <v>0.49999999999999994</v>
      </c>
      <c r="J259" s="13">
        <f t="shared" si="5"/>
        <v>97.15</v>
      </c>
      <c r="K259" s="14">
        <f>E259-L259-J259</f>
        <v>874.35000000000014</v>
      </c>
      <c r="L259" s="14">
        <f>E259*I259</f>
        <v>971.49999999999989</v>
      </c>
      <c r="M259" s="11">
        <f>J259*F259</f>
        <v>95.207000000000008</v>
      </c>
      <c r="N259" s="11">
        <f>K259*F259</f>
        <v>856.86300000000017</v>
      </c>
      <c r="O259" s="12">
        <f>L259*F259</f>
        <v>952.06999999999982</v>
      </c>
    </row>
    <row r="260" spans="1:15" x14ac:dyDescent="0.25">
      <c r="A260" s="102">
        <f>IF(Table8[[#This Row],[in-game_name]]&lt;&gt;"",ROW(A259),"")</f>
        <v>259</v>
      </c>
      <c r="B260" s="105" t="s">
        <v>38</v>
      </c>
      <c r="C260" s="92">
        <f>_xlfn.XLOOKUP(B260,Table4[in-game_name],Table4[user_number],"User Not Found")</f>
        <v>41</v>
      </c>
      <c r="D260" s="3">
        <v>44575</v>
      </c>
      <c r="E260" s="1">
        <v>1974</v>
      </c>
      <c r="F260" s="8">
        <v>1</v>
      </c>
      <c r="G260" s="1">
        <v>0.12</v>
      </c>
      <c r="H260" s="1">
        <v>0.38</v>
      </c>
      <c r="I260" s="1">
        <v>0.5</v>
      </c>
      <c r="J260" s="13">
        <f t="shared" si="5"/>
        <v>236.88</v>
      </c>
      <c r="K260" s="14">
        <f>E260-L260-J260</f>
        <v>750.12</v>
      </c>
      <c r="L260" s="14">
        <f>E260*I260</f>
        <v>987</v>
      </c>
      <c r="M260" s="11">
        <f>J260*F260</f>
        <v>236.88</v>
      </c>
      <c r="N260" s="11">
        <f>K260*F260</f>
        <v>750.12</v>
      </c>
      <c r="O260" s="12">
        <f>L260*F260</f>
        <v>987</v>
      </c>
    </row>
    <row r="261" spans="1:15" x14ac:dyDescent="0.25">
      <c r="A261" s="102">
        <f>IF(Table8[[#This Row],[in-game_name]]&lt;&gt;"",ROW(A260),"")</f>
        <v>260</v>
      </c>
      <c r="B261" s="105" t="s">
        <v>51</v>
      </c>
      <c r="C261" s="92">
        <f>_xlfn.XLOOKUP(B261,Table4[in-game_name],Table4[user_number],"User Not Found")</f>
        <v>10</v>
      </c>
      <c r="D261" s="3">
        <v>44575</v>
      </c>
      <c r="E261" s="1">
        <v>1737</v>
      </c>
      <c r="F261" s="8">
        <v>0.98</v>
      </c>
      <c r="G261" s="1">
        <v>0.03</v>
      </c>
      <c r="H261" s="1">
        <v>0.37</v>
      </c>
      <c r="I261" s="1">
        <v>0.6</v>
      </c>
      <c r="J261" s="13">
        <f t="shared" si="5"/>
        <v>52.11</v>
      </c>
      <c r="K261" s="14">
        <f>E261-L261-J261</f>
        <v>642.68999999999994</v>
      </c>
      <c r="L261" s="14">
        <f>E261*I261</f>
        <v>1042.2</v>
      </c>
      <c r="M261" s="11">
        <f>J261*F261</f>
        <v>51.067799999999998</v>
      </c>
      <c r="N261" s="11">
        <f>K261*F261</f>
        <v>629.83619999999996</v>
      </c>
      <c r="O261" s="12">
        <f>L261*F261</f>
        <v>1021.356</v>
      </c>
    </row>
    <row r="262" spans="1:15" x14ac:dyDescent="0.25">
      <c r="A262" s="102">
        <f>IF(Table8[[#This Row],[in-game_name]]&lt;&gt;"",ROW(A261),"")</f>
        <v>261</v>
      </c>
      <c r="B262" s="105" t="s">
        <v>19</v>
      </c>
      <c r="C262" s="92">
        <f>_xlfn.XLOOKUP(B262,Table4[in-game_name],Table4[user_number],"User Not Found")</f>
        <v>37</v>
      </c>
      <c r="D262" s="3">
        <v>44575</v>
      </c>
      <c r="E262" s="1">
        <v>2076</v>
      </c>
      <c r="F262" s="8">
        <v>0.98</v>
      </c>
      <c r="G262" s="1">
        <v>0.15</v>
      </c>
      <c r="H262" s="1">
        <v>0.4</v>
      </c>
      <c r="I262" s="1">
        <v>0.44999999999999996</v>
      </c>
      <c r="J262" s="13">
        <f t="shared" si="5"/>
        <v>311.39999999999998</v>
      </c>
      <c r="K262" s="14">
        <f>E262-L262-J262</f>
        <v>830.4000000000002</v>
      </c>
      <c r="L262" s="14">
        <f>E262*I262</f>
        <v>934.19999999999993</v>
      </c>
      <c r="M262" s="11">
        <f>J262*F262</f>
        <v>305.17199999999997</v>
      </c>
      <c r="N262" s="11">
        <f>K262*F262</f>
        <v>813.79200000000014</v>
      </c>
      <c r="O262" s="12">
        <f>L262*F262</f>
        <v>915.51599999999996</v>
      </c>
    </row>
    <row r="263" spans="1:15" x14ac:dyDescent="0.25">
      <c r="A263" s="102">
        <f>IF(Table8[[#This Row],[in-game_name]]&lt;&gt;"",ROW(A262),"")</f>
        <v>262</v>
      </c>
      <c r="B263" s="105" t="s">
        <v>43</v>
      </c>
      <c r="C263" s="92">
        <f>_xlfn.XLOOKUP(B263,Table4[in-game_name],Table4[user_number],"User Not Found")</f>
        <v>42</v>
      </c>
      <c r="D263" s="3">
        <v>44575</v>
      </c>
      <c r="E263" s="1">
        <v>1986</v>
      </c>
      <c r="F263" s="8">
        <v>0.98</v>
      </c>
      <c r="G263" s="1">
        <v>0.08</v>
      </c>
      <c r="H263" s="1">
        <v>0.43</v>
      </c>
      <c r="I263" s="1">
        <v>0.49000000000000005</v>
      </c>
      <c r="J263" s="13">
        <f t="shared" si="5"/>
        <v>158.88</v>
      </c>
      <c r="K263" s="14">
        <f>E263-L263-J263</f>
        <v>853.9799999999999</v>
      </c>
      <c r="L263" s="14">
        <f>E263*I263</f>
        <v>973.1400000000001</v>
      </c>
      <c r="M263" s="11">
        <f>J263*F263</f>
        <v>155.70239999999998</v>
      </c>
      <c r="N263" s="11">
        <f>K263*F263</f>
        <v>836.90039999999988</v>
      </c>
      <c r="O263" s="12">
        <f>L263*F263</f>
        <v>953.67720000000008</v>
      </c>
    </row>
    <row r="264" spans="1:15" x14ac:dyDescent="0.25">
      <c r="A264" s="102">
        <f>IF(Table8[[#This Row],[in-game_name]]&lt;&gt;"",ROW(A263),"")</f>
        <v>263</v>
      </c>
      <c r="B264" s="105" t="s">
        <v>25</v>
      </c>
      <c r="C264" s="92">
        <f>_xlfn.XLOOKUP(B264,Table4[in-game_name],Table4[user_number],"User Not Found")</f>
        <v>38</v>
      </c>
      <c r="D264" s="3">
        <v>44575</v>
      </c>
      <c r="E264" s="1">
        <v>1761</v>
      </c>
      <c r="F264" s="8">
        <v>1</v>
      </c>
      <c r="G264" s="1">
        <v>0.1</v>
      </c>
      <c r="H264" s="1">
        <v>0.4</v>
      </c>
      <c r="I264" s="1">
        <v>0.5</v>
      </c>
      <c r="J264" s="13">
        <f t="shared" si="5"/>
        <v>176.10000000000002</v>
      </c>
      <c r="K264" s="14">
        <f>E264-L264-J264</f>
        <v>704.4</v>
      </c>
      <c r="L264" s="14">
        <f>E264*I264</f>
        <v>880.5</v>
      </c>
      <c r="M264" s="11">
        <f>J264*F264</f>
        <v>176.10000000000002</v>
      </c>
      <c r="N264" s="11">
        <f>K264*F264</f>
        <v>704.4</v>
      </c>
      <c r="O264" s="12">
        <f>L264*F264</f>
        <v>880.5</v>
      </c>
    </row>
    <row r="265" spans="1:15" x14ac:dyDescent="0.25">
      <c r="A265" s="102">
        <f>IF(Table8[[#This Row],[in-game_name]]&lt;&gt;"",ROW(A264),"")</f>
        <v>264</v>
      </c>
      <c r="B265" s="105" t="s">
        <v>7</v>
      </c>
      <c r="C265" s="92">
        <f>_xlfn.XLOOKUP(B265,Table4[in-game_name],Table4[user_number],"User Not Found")</f>
        <v>35</v>
      </c>
      <c r="D265" s="3">
        <v>44576</v>
      </c>
      <c r="E265" s="1">
        <v>1584</v>
      </c>
      <c r="F265" s="8">
        <v>0.95</v>
      </c>
      <c r="G265" s="1">
        <v>0.05</v>
      </c>
      <c r="H265" s="1">
        <v>0.45</v>
      </c>
      <c r="I265" s="1">
        <v>0.49999999999999994</v>
      </c>
      <c r="J265" s="13">
        <f t="shared" si="5"/>
        <v>79.2</v>
      </c>
      <c r="K265" s="14">
        <f>E265-L265-J265</f>
        <v>712.80000000000007</v>
      </c>
      <c r="L265" s="14">
        <f>E265*I265</f>
        <v>791.99999999999989</v>
      </c>
      <c r="M265" s="11">
        <f>J265*F265</f>
        <v>75.239999999999995</v>
      </c>
      <c r="N265" s="11">
        <f>K265*F265</f>
        <v>677.16000000000008</v>
      </c>
      <c r="O265" s="12">
        <f>L265*F265</f>
        <v>752.39999999999986</v>
      </c>
    </row>
    <row r="266" spans="1:15" x14ac:dyDescent="0.25">
      <c r="A266" s="102">
        <f>IF(Table8[[#This Row],[in-game_name]]&lt;&gt;"",ROW(A265),"")</f>
        <v>265</v>
      </c>
      <c r="B266" s="105" t="s">
        <v>78</v>
      </c>
      <c r="C266" s="92">
        <f>_xlfn.XLOOKUP(B266,Table4[in-game_name],Table4[user_number],"User Not Found")</f>
        <v>15</v>
      </c>
      <c r="D266" s="3">
        <v>44576</v>
      </c>
      <c r="E266" s="1">
        <v>1172</v>
      </c>
      <c r="F266" s="8">
        <v>0.98</v>
      </c>
      <c r="G266" s="1">
        <v>0.03</v>
      </c>
      <c r="H266" s="1">
        <v>0.27</v>
      </c>
      <c r="I266" s="1">
        <v>0.7</v>
      </c>
      <c r="J266" s="13">
        <f t="shared" si="5"/>
        <v>35.159999999999997</v>
      </c>
      <c r="K266" s="14">
        <f>E266-L266-J266</f>
        <v>316.44000000000005</v>
      </c>
      <c r="L266" s="14">
        <f>E266*I266</f>
        <v>820.4</v>
      </c>
      <c r="M266" s="11">
        <f>J266*F266</f>
        <v>34.456799999999994</v>
      </c>
      <c r="N266" s="11">
        <f>K266*F266</f>
        <v>310.11120000000005</v>
      </c>
      <c r="O266" s="12">
        <f>L266*F266</f>
        <v>803.99199999999996</v>
      </c>
    </row>
    <row r="267" spans="1:15" x14ac:dyDescent="0.25">
      <c r="A267" s="102">
        <f>IF(Table8[[#This Row],[in-game_name]]&lt;&gt;"",ROW(A266),"")</f>
        <v>266</v>
      </c>
      <c r="B267" s="105" t="s">
        <v>28</v>
      </c>
      <c r="C267" s="92">
        <f>_xlfn.XLOOKUP(B267,Table4[in-game_name],Table4[user_number],"User Not Found")</f>
        <v>22</v>
      </c>
      <c r="D267" s="3">
        <v>44576</v>
      </c>
      <c r="E267" s="1">
        <v>1893</v>
      </c>
      <c r="F267" s="8">
        <v>0.98</v>
      </c>
      <c r="G267" s="1">
        <v>0.03</v>
      </c>
      <c r="H267" s="1">
        <v>0.37</v>
      </c>
      <c r="I267" s="1">
        <v>0.6</v>
      </c>
      <c r="J267" s="13">
        <f t="shared" si="5"/>
        <v>56.79</v>
      </c>
      <c r="K267" s="14">
        <f>E267-L267-J267</f>
        <v>700.41000000000008</v>
      </c>
      <c r="L267" s="14">
        <f>E267*I267</f>
        <v>1135.8</v>
      </c>
      <c r="M267" s="11">
        <f>J267*F267</f>
        <v>55.654199999999996</v>
      </c>
      <c r="N267" s="11">
        <f>K267*F267</f>
        <v>686.40180000000009</v>
      </c>
      <c r="O267" s="12">
        <f>L267*F267</f>
        <v>1113.0839999999998</v>
      </c>
    </row>
    <row r="268" spans="1:15" x14ac:dyDescent="0.25">
      <c r="A268" s="102">
        <f>IF(Table8[[#This Row],[in-game_name]]&lt;&gt;"",ROW(A267),"")</f>
        <v>267</v>
      </c>
      <c r="B268" s="105" t="s">
        <v>71</v>
      </c>
      <c r="C268" s="92">
        <f>_xlfn.XLOOKUP(B268,Table4[in-game_name],Table4[user_number],"User Not Found")</f>
        <v>30</v>
      </c>
      <c r="D268" s="3">
        <v>44576</v>
      </c>
      <c r="E268" s="1">
        <v>563</v>
      </c>
      <c r="F268" s="8">
        <v>0.98</v>
      </c>
      <c r="G268" s="1">
        <v>0.03</v>
      </c>
      <c r="H268" s="1">
        <v>0.27</v>
      </c>
      <c r="I268" s="1">
        <v>0.7</v>
      </c>
      <c r="J268" s="13">
        <f t="shared" si="5"/>
        <v>16.89</v>
      </c>
      <c r="K268" s="14">
        <f>E268-L268-J268</f>
        <v>152.01000000000005</v>
      </c>
      <c r="L268" s="14">
        <f>E268*I268</f>
        <v>394.09999999999997</v>
      </c>
      <c r="M268" s="11">
        <f>J268*F268</f>
        <v>16.552199999999999</v>
      </c>
      <c r="N268" s="11">
        <f>K268*F268</f>
        <v>148.96980000000005</v>
      </c>
      <c r="O268" s="12">
        <f>L268*F268</f>
        <v>386.21799999999996</v>
      </c>
    </row>
    <row r="269" spans="1:15" x14ac:dyDescent="0.25">
      <c r="A269" s="102">
        <f>IF(Table8[[#This Row],[in-game_name]]&lt;&gt;"",ROW(A268),"")</f>
        <v>268</v>
      </c>
      <c r="B269" s="105" t="s">
        <v>91</v>
      </c>
      <c r="C269" s="92">
        <f>_xlfn.XLOOKUP(B269,Table4[in-game_name],Table4[user_number],"User Not Found")</f>
        <v>33</v>
      </c>
      <c r="D269" s="3">
        <v>44576</v>
      </c>
      <c r="E269" s="1">
        <v>1258</v>
      </c>
      <c r="F269" s="8">
        <v>0.98</v>
      </c>
      <c r="G269" s="1">
        <v>0.03</v>
      </c>
      <c r="H269" s="1">
        <v>0.27</v>
      </c>
      <c r="I269" s="1">
        <v>0.7</v>
      </c>
      <c r="J269" s="13">
        <f t="shared" si="5"/>
        <v>37.74</v>
      </c>
      <c r="K269" s="14">
        <f>E269-L269-J269</f>
        <v>339.66000000000008</v>
      </c>
      <c r="L269" s="14">
        <f>E269*I269</f>
        <v>880.59999999999991</v>
      </c>
      <c r="M269" s="11">
        <f>J269*F269</f>
        <v>36.985199999999999</v>
      </c>
      <c r="N269" s="11">
        <f>K269*F269</f>
        <v>332.86680000000007</v>
      </c>
      <c r="O269" s="12">
        <f>L269*F269</f>
        <v>862.98799999999994</v>
      </c>
    </row>
    <row r="270" spans="1:15" x14ac:dyDescent="0.25">
      <c r="A270" s="102">
        <f>IF(Table8[[#This Row],[in-game_name]]&lt;&gt;"",ROW(A269),"")</f>
        <v>269</v>
      </c>
      <c r="B270" s="105" t="s">
        <v>79</v>
      </c>
      <c r="C270" s="92">
        <f>_xlfn.XLOOKUP(B270,Table4[in-game_name],Table4[user_number],"User Not Found")</f>
        <v>32</v>
      </c>
      <c r="D270" s="3">
        <v>44576</v>
      </c>
      <c r="E270" s="1">
        <v>1242</v>
      </c>
      <c r="F270" s="8">
        <v>0.98</v>
      </c>
      <c r="G270" s="1">
        <v>0.03</v>
      </c>
      <c r="H270" s="1">
        <v>0.27</v>
      </c>
      <c r="I270" s="1">
        <v>0.7</v>
      </c>
      <c r="J270" s="13">
        <f t="shared" si="5"/>
        <v>37.26</v>
      </c>
      <c r="K270" s="14">
        <f>E270-L270-J270</f>
        <v>335.34000000000003</v>
      </c>
      <c r="L270" s="14">
        <f>E270*I270</f>
        <v>869.4</v>
      </c>
      <c r="M270" s="11">
        <f>J270*F270</f>
        <v>36.514799999999994</v>
      </c>
      <c r="N270" s="11">
        <f>K270*F270</f>
        <v>328.63320000000004</v>
      </c>
      <c r="O270" s="12">
        <f>L270*F270</f>
        <v>852.01199999999994</v>
      </c>
    </row>
    <row r="271" spans="1:15" x14ac:dyDescent="0.25">
      <c r="A271" s="102">
        <f>IF(Table8[[#This Row],[in-game_name]]&lt;&gt;"",ROW(A270),"")</f>
        <v>270</v>
      </c>
      <c r="B271" s="105" t="s">
        <v>23</v>
      </c>
      <c r="C271" s="92">
        <f>_xlfn.XLOOKUP(B271,Table4[in-game_name],Table4[user_number],"User Not Found")</f>
        <v>4</v>
      </c>
      <c r="D271" s="3">
        <v>44577</v>
      </c>
      <c r="E271" s="1">
        <v>1195</v>
      </c>
      <c r="F271" s="8">
        <v>0.98</v>
      </c>
      <c r="G271" s="1">
        <v>0.03</v>
      </c>
      <c r="H271" s="1">
        <v>0.27</v>
      </c>
      <c r="I271" s="1">
        <v>0.7</v>
      </c>
      <c r="J271" s="13">
        <f t="shared" si="5"/>
        <v>35.85</v>
      </c>
      <c r="K271" s="14">
        <f>E271-L271-J271</f>
        <v>322.64999999999998</v>
      </c>
      <c r="L271" s="14">
        <f>E271*I271</f>
        <v>836.5</v>
      </c>
      <c r="M271" s="11">
        <f>J271*F271</f>
        <v>35.133000000000003</v>
      </c>
      <c r="N271" s="11">
        <f>K271*F271</f>
        <v>316.19699999999995</v>
      </c>
      <c r="O271" s="12">
        <f>L271*F271</f>
        <v>819.77</v>
      </c>
    </row>
    <row r="272" spans="1:15" x14ac:dyDescent="0.25">
      <c r="A272" s="102">
        <f>IF(Table8[[#This Row],[in-game_name]]&lt;&gt;"",ROW(A271),"")</f>
        <v>271</v>
      </c>
      <c r="B272" s="105" t="s">
        <v>55</v>
      </c>
      <c r="C272" s="92">
        <f>_xlfn.XLOOKUP(B272,Table4[in-game_name],Table4[user_number],"User Not Found")</f>
        <v>11</v>
      </c>
      <c r="D272" s="3">
        <v>44577</v>
      </c>
      <c r="E272" s="1">
        <v>477</v>
      </c>
      <c r="F272" s="8">
        <v>0.98</v>
      </c>
      <c r="G272" s="1">
        <v>0.6</v>
      </c>
      <c r="H272" s="1">
        <v>0.4</v>
      </c>
      <c r="I272" s="1">
        <v>0</v>
      </c>
      <c r="J272" s="13">
        <f t="shared" si="5"/>
        <v>286.2</v>
      </c>
      <c r="K272" s="14">
        <f>E272-L272-J272</f>
        <v>190.8</v>
      </c>
      <c r="L272" s="14">
        <f>E272*I272</f>
        <v>0</v>
      </c>
      <c r="M272" s="11">
        <f>J272*F272</f>
        <v>280.476</v>
      </c>
      <c r="N272" s="11">
        <f>K272*F272</f>
        <v>186.98400000000001</v>
      </c>
      <c r="O272" s="12">
        <f>L272*F272</f>
        <v>0</v>
      </c>
    </row>
    <row r="273" spans="1:17" x14ac:dyDescent="0.25">
      <c r="A273" s="102">
        <f>IF(Table8[[#This Row],[in-game_name]]&lt;&gt;"",ROW(A272),"")</f>
        <v>272</v>
      </c>
      <c r="B273" s="105" t="s">
        <v>62</v>
      </c>
      <c r="C273" s="92">
        <f>_xlfn.XLOOKUP(B273,Table4[in-game_name],Table4[user_number],"User Not Found")</f>
        <v>12</v>
      </c>
      <c r="D273" s="3">
        <v>44577</v>
      </c>
      <c r="E273" s="1">
        <v>1969</v>
      </c>
      <c r="F273" s="8">
        <v>0.98</v>
      </c>
      <c r="G273" s="1">
        <v>0.65</v>
      </c>
      <c r="H273" s="1">
        <v>0.35</v>
      </c>
      <c r="I273" s="1">
        <v>0</v>
      </c>
      <c r="J273" s="13">
        <f t="shared" si="5"/>
        <v>1279.8500000000001</v>
      </c>
      <c r="K273" s="14">
        <f>E273-L273-J273</f>
        <v>689.14999999999986</v>
      </c>
      <c r="L273" s="14">
        <f>E273*I273</f>
        <v>0</v>
      </c>
      <c r="M273" s="11">
        <f>J273*F273</f>
        <v>1254.2530000000002</v>
      </c>
      <c r="N273" s="11">
        <f>K273*F273</f>
        <v>675.36699999999985</v>
      </c>
      <c r="O273" s="12">
        <f>L273*F273</f>
        <v>0</v>
      </c>
    </row>
    <row r="274" spans="1:17" x14ac:dyDescent="0.25">
      <c r="A274" s="102">
        <f>IF(Table8[[#This Row],[in-game_name]]&lt;&gt;"",ROW(A273),"")</f>
        <v>273</v>
      </c>
      <c r="B274" s="105" t="s">
        <v>70</v>
      </c>
      <c r="C274" s="92">
        <f>_xlfn.XLOOKUP(B274,Table4[in-game_name],Table4[user_number],"User Not Found")</f>
        <v>13</v>
      </c>
      <c r="D274" s="3">
        <v>44577</v>
      </c>
      <c r="E274" s="1">
        <v>2042</v>
      </c>
      <c r="F274" s="8">
        <v>0.98</v>
      </c>
      <c r="G274" s="1">
        <v>0.6</v>
      </c>
      <c r="H274" s="1">
        <v>0.4</v>
      </c>
      <c r="I274" s="1">
        <v>0</v>
      </c>
      <c r="J274" s="13">
        <f t="shared" si="5"/>
        <v>1225.2</v>
      </c>
      <c r="K274" s="14">
        <f>E274-L274-J274</f>
        <v>816.8</v>
      </c>
      <c r="L274" s="14">
        <f>E274*I274</f>
        <v>0</v>
      </c>
      <c r="M274" s="11">
        <f>J274*F274</f>
        <v>1200.6959999999999</v>
      </c>
      <c r="N274" s="11">
        <f>K274*F274</f>
        <v>800.46399999999994</v>
      </c>
      <c r="O274" s="12">
        <f>L274*F274</f>
        <v>0</v>
      </c>
    </row>
    <row r="275" spans="1:17" x14ac:dyDescent="0.25">
      <c r="A275" s="102">
        <f>IF(Table8[[#This Row],[in-game_name]]&lt;&gt;"",ROW(A274),"")</f>
        <v>274</v>
      </c>
      <c r="B275" s="105" t="s">
        <v>42</v>
      </c>
      <c r="C275" s="92">
        <f>_xlfn.XLOOKUP(B275,Table4[in-game_name],Table4[user_number],"User Not Found")</f>
        <v>25</v>
      </c>
      <c r="D275" s="3">
        <v>44578</v>
      </c>
      <c r="E275" s="1">
        <v>1489</v>
      </c>
      <c r="F275" s="8">
        <v>0.98</v>
      </c>
      <c r="G275" s="1">
        <v>0.1</v>
      </c>
      <c r="H275" s="1">
        <v>0.4</v>
      </c>
      <c r="I275" s="1">
        <v>0.5</v>
      </c>
      <c r="J275" s="13">
        <f t="shared" si="5"/>
        <v>148.9</v>
      </c>
      <c r="K275" s="14">
        <f>E275-L275-J275</f>
        <v>595.6</v>
      </c>
      <c r="L275" s="14">
        <f>E275*I275</f>
        <v>744.5</v>
      </c>
      <c r="M275" s="11">
        <f>J275*F275</f>
        <v>145.922</v>
      </c>
      <c r="N275" s="11">
        <f>K275*F275</f>
        <v>583.68799999999999</v>
      </c>
      <c r="O275" s="12">
        <f>L275*F275</f>
        <v>729.61</v>
      </c>
    </row>
    <row r="276" spans="1:17" x14ac:dyDescent="0.25">
      <c r="A276" s="102">
        <f>IF(Table8[[#This Row],[in-game_name]]&lt;&gt;"",ROW(A275),"")</f>
        <v>275</v>
      </c>
      <c r="B276" s="105" t="s">
        <v>32</v>
      </c>
      <c r="C276" s="92">
        <f>_xlfn.XLOOKUP(B276,Table4[in-game_name],Table4[user_number],"User Not Found")</f>
        <v>23</v>
      </c>
      <c r="D276" s="3">
        <v>44578</v>
      </c>
      <c r="E276" s="1">
        <v>141</v>
      </c>
      <c r="F276" s="8">
        <v>0.98</v>
      </c>
      <c r="G276" s="1">
        <v>0.03</v>
      </c>
      <c r="H276" s="1">
        <v>0.27</v>
      </c>
      <c r="I276" s="1">
        <v>0.7</v>
      </c>
      <c r="J276" s="13">
        <f t="shared" si="5"/>
        <v>4.2299999999999995</v>
      </c>
      <c r="K276" s="14">
        <f>E276-L276-J276</f>
        <v>38.070000000000014</v>
      </c>
      <c r="L276" s="14">
        <f>E276*I276</f>
        <v>98.699999999999989</v>
      </c>
      <c r="M276" s="11">
        <f>J276*F276</f>
        <v>4.1453999999999995</v>
      </c>
      <c r="N276" s="11">
        <f>K276*F276</f>
        <v>37.308600000000013</v>
      </c>
      <c r="O276" s="12">
        <f>L276*F276</f>
        <v>96.725999999999985</v>
      </c>
    </row>
    <row r="277" spans="1:17" x14ac:dyDescent="0.25">
      <c r="A277" s="102">
        <f>IF(Table8[[#This Row],[in-game_name]]&lt;&gt;"",ROW(A276),"")</f>
        <v>276</v>
      </c>
      <c r="B277" s="105" t="s">
        <v>46</v>
      </c>
      <c r="C277" s="92">
        <f>_xlfn.XLOOKUP(B277,Table4[in-game_name],Table4[user_number],"User Not Found")</f>
        <v>9</v>
      </c>
      <c r="D277" s="3">
        <v>44578</v>
      </c>
      <c r="E277" s="1">
        <v>765</v>
      </c>
      <c r="F277" s="8">
        <v>0.98</v>
      </c>
      <c r="G277" s="1">
        <v>0.7</v>
      </c>
      <c r="H277" s="1">
        <v>0.3</v>
      </c>
      <c r="I277" s="1">
        <v>0</v>
      </c>
      <c r="J277" s="13">
        <f t="shared" si="5"/>
        <v>535.5</v>
      </c>
      <c r="K277" s="14">
        <f>E277-L277-J277</f>
        <v>229.5</v>
      </c>
      <c r="L277" s="14">
        <f>E277*I277</f>
        <v>0</v>
      </c>
      <c r="M277" s="11">
        <f>J277*F277</f>
        <v>524.79</v>
      </c>
      <c r="N277" s="11">
        <f>K277*F277</f>
        <v>224.91</v>
      </c>
      <c r="O277" s="12">
        <f>L277*F277</f>
        <v>0</v>
      </c>
    </row>
    <row r="278" spans="1:17" x14ac:dyDescent="0.25">
      <c r="A278" s="102">
        <f>IF(Table8[[#This Row],[in-game_name]]&lt;&gt;"",ROW(A277),"")</f>
        <v>277</v>
      </c>
      <c r="B278" s="105" t="s">
        <v>76</v>
      </c>
      <c r="C278" s="92">
        <f>_xlfn.XLOOKUP(B278,Table4[in-game_name],Table4[user_number],"User Not Found")</f>
        <v>48</v>
      </c>
      <c r="D278" s="3">
        <v>44578</v>
      </c>
      <c r="E278" s="1">
        <v>286</v>
      </c>
      <c r="F278" s="8">
        <v>0.98</v>
      </c>
      <c r="G278" s="1">
        <v>0.03</v>
      </c>
      <c r="H278" s="1">
        <v>0.27</v>
      </c>
      <c r="I278" s="1">
        <v>0.7</v>
      </c>
      <c r="J278" s="13">
        <f t="shared" si="5"/>
        <v>8.58</v>
      </c>
      <c r="K278" s="14">
        <f>E278-L278-J278</f>
        <v>77.220000000000013</v>
      </c>
      <c r="L278" s="14">
        <f>E278*I278</f>
        <v>200.2</v>
      </c>
      <c r="M278" s="11">
        <f>J278*F278</f>
        <v>8.4084000000000003</v>
      </c>
      <c r="N278" s="11">
        <f>K278*F278</f>
        <v>75.675600000000017</v>
      </c>
      <c r="O278" s="12">
        <f>L278*F278</f>
        <v>196.196</v>
      </c>
    </row>
    <row r="279" spans="1:17" x14ac:dyDescent="0.25">
      <c r="A279" s="102">
        <f>IF(Table8[[#This Row],[in-game_name]]&lt;&gt;"",ROW(A278),"")</f>
        <v>278</v>
      </c>
      <c r="B279" s="105" t="s">
        <v>41</v>
      </c>
      <c r="C279" s="92">
        <f>_xlfn.XLOOKUP(B279,Table4[in-game_name],Table4[user_number],"User Not Found")</f>
        <v>8</v>
      </c>
      <c r="D279" s="3">
        <v>44579</v>
      </c>
      <c r="E279" s="1">
        <v>2150</v>
      </c>
      <c r="F279" s="8">
        <v>0.93</v>
      </c>
      <c r="G279" s="1">
        <v>0.15815000000000001</v>
      </c>
      <c r="H279" s="1">
        <v>0.4</v>
      </c>
      <c r="I279" s="1">
        <v>0.44184999999999997</v>
      </c>
      <c r="J279" s="13">
        <f t="shared" si="5"/>
        <v>340.02250000000004</v>
      </c>
      <c r="K279" s="14">
        <f>E279-L279-J279</f>
        <v>860</v>
      </c>
      <c r="L279" s="14">
        <f>E279*I279</f>
        <v>949.97749999999996</v>
      </c>
      <c r="M279" s="11">
        <f>J279*F279</f>
        <v>316.22092500000002</v>
      </c>
      <c r="N279" s="11">
        <f>K279*F279</f>
        <v>799.80000000000007</v>
      </c>
      <c r="O279" s="12">
        <f>L279*F279</f>
        <v>883.47907499999997</v>
      </c>
    </row>
    <row r="280" spans="1:17" x14ac:dyDescent="0.25">
      <c r="A280" s="102">
        <f>IF(Table8[[#This Row],[in-game_name]]&lt;&gt;"",ROW(A279),"")</f>
        <v>279</v>
      </c>
      <c r="B280" s="105" t="s">
        <v>33</v>
      </c>
      <c r="C280" s="92">
        <f>_xlfn.XLOOKUP(B280,Table4[in-game_name],Table4[user_number],"User Not Found")</f>
        <v>40</v>
      </c>
      <c r="D280" s="3">
        <v>44579</v>
      </c>
      <c r="E280" s="1">
        <v>1674</v>
      </c>
      <c r="F280" s="8">
        <v>0.92</v>
      </c>
      <c r="G280" s="1">
        <v>0.6</v>
      </c>
      <c r="H280" s="1">
        <v>0.4</v>
      </c>
      <c r="I280" s="1">
        <v>0</v>
      </c>
      <c r="J280" s="13">
        <f t="shared" si="5"/>
        <v>1004.4</v>
      </c>
      <c r="K280" s="14">
        <f>E280-L280-J280</f>
        <v>669.6</v>
      </c>
      <c r="L280" s="14">
        <f>E280*I280</f>
        <v>0</v>
      </c>
      <c r="M280" s="11">
        <f>J280*F280</f>
        <v>924.048</v>
      </c>
      <c r="N280" s="11">
        <f>K280*F280</f>
        <v>616.03200000000004</v>
      </c>
      <c r="O280" s="12">
        <f>L280*F280</f>
        <v>0</v>
      </c>
    </row>
    <row r="281" spans="1:17" x14ac:dyDescent="0.25">
      <c r="A281" s="102">
        <f>IF(Table8[[#This Row],[in-game_name]]&lt;&gt;"",ROW(A280),"")</f>
        <v>280</v>
      </c>
      <c r="B281" s="105" t="s">
        <v>75</v>
      </c>
      <c r="C281" s="92">
        <f>_xlfn.XLOOKUP(B281,Table4[in-game_name],Table4[user_number],"User Not Found")</f>
        <v>31</v>
      </c>
      <c r="D281" s="3">
        <v>44579</v>
      </c>
      <c r="E281" s="1">
        <v>1244</v>
      </c>
      <c r="F281" s="8">
        <v>0.91</v>
      </c>
      <c r="G281" s="1">
        <v>0.65</v>
      </c>
      <c r="H281" s="1">
        <v>0.35</v>
      </c>
      <c r="I281" s="1">
        <v>0</v>
      </c>
      <c r="J281" s="13">
        <f t="shared" si="5"/>
        <v>808.6</v>
      </c>
      <c r="K281" s="14">
        <f>E281-L281-J281</f>
        <v>435.4</v>
      </c>
      <c r="L281" s="14">
        <f>E281*I281</f>
        <v>0</v>
      </c>
      <c r="M281" s="11">
        <f>J281*F281</f>
        <v>735.82600000000002</v>
      </c>
      <c r="N281" s="11">
        <f>K281*F281</f>
        <v>396.214</v>
      </c>
      <c r="O281" s="12">
        <f>L281*F281</f>
        <v>0</v>
      </c>
    </row>
    <row r="282" spans="1:17" x14ac:dyDescent="0.25">
      <c r="A282" s="102">
        <f>IF(Table8[[#This Row],[in-game_name]]&lt;&gt;"",ROW(A281),"")</f>
        <v>281</v>
      </c>
      <c r="B282" s="105" t="s">
        <v>52</v>
      </c>
      <c r="C282" s="92">
        <f>_xlfn.XLOOKUP(B282,Table4[in-game_name],Table4[user_number],"User Not Found")</f>
        <v>27</v>
      </c>
      <c r="D282" s="3">
        <v>44582</v>
      </c>
      <c r="E282" s="1">
        <v>2696</v>
      </c>
      <c r="F282" s="8">
        <v>0.82</v>
      </c>
      <c r="G282" s="1">
        <v>0.1</v>
      </c>
      <c r="H282" s="1">
        <v>0.4</v>
      </c>
      <c r="I282" s="1">
        <v>0.5</v>
      </c>
      <c r="J282" s="13">
        <f t="shared" si="5"/>
        <v>269.60000000000002</v>
      </c>
      <c r="K282" s="14">
        <f>E282-L282-J282</f>
        <v>1078.4000000000001</v>
      </c>
      <c r="L282" s="14">
        <f>E282*I282</f>
        <v>1348</v>
      </c>
      <c r="M282" s="11">
        <f>J282*F282</f>
        <v>221.072</v>
      </c>
      <c r="N282" s="11">
        <f>K282*F282</f>
        <v>884.28800000000001</v>
      </c>
      <c r="O282" s="12">
        <f>L282*F282</f>
        <v>1105.3599999999999</v>
      </c>
    </row>
    <row r="283" spans="1:17" x14ac:dyDescent="0.25">
      <c r="A283" s="102">
        <f>IF(Table8[[#This Row],[in-game_name]]&lt;&gt;"",ROW(A282),"")</f>
        <v>282</v>
      </c>
      <c r="B283" s="105" t="s">
        <v>56</v>
      </c>
      <c r="C283" s="92">
        <f>_xlfn.XLOOKUP(B283,Table4[in-game_name],Table4[user_number],"User Not Found")</f>
        <v>28</v>
      </c>
      <c r="D283" s="3">
        <v>44593</v>
      </c>
      <c r="E283" s="1">
        <v>2099</v>
      </c>
      <c r="F283" s="8">
        <v>0.5</v>
      </c>
      <c r="G283" s="1">
        <v>0.17</v>
      </c>
      <c r="H283" s="1">
        <v>0.4</v>
      </c>
      <c r="I283" s="1">
        <v>0.42999999999999994</v>
      </c>
      <c r="J283" s="13">
        <f t="shared" si="5"/>
        <v>356.83000000000004</v>
      </c>
      <c r="K283" s="14">
        <f>E283-L283-J283</f>
        <v>839.60000000000025</v>
      </c>
      <c r="L283" s="14">
        <f>E283*I283</f>
        <v>902.56999999999982</v>
      </c>
      <c r="M283" s="11">
        <f>J283*F283</f>
        <v>178.41500000000002</v>
      </c>
      <c r="N283" s="11">
        <f>K283*F283</f>
        <v>419.80000000000013</v>
      </c>
      <c r="O283" s="12">
        <f>L283*F283</f>
        <v>451.28499999999991</v>
      </c>
    </row>
    <row r="284" spans="1:17" x14ac:dyDescent="0.25">
      <c r="A284" s="102" t="str">
        <f>IF(Table8[[#This Row],[in-game_name]]&lt;&gt;"",ROW(A283),"")</f>
        <v/>
      </c>
      <c r="B284" s="104"/>
      <c r="C284" s="92">
        <f>_xlfn.XLOOKUP(B284,Table4[in-game_name],Table4[user_number],"User Not Found")</f>
        <v>0</v>
      </c>
      <c r="D284" s="3"/>
      <c r="F284" s="8"/>
      <c r="J284" s="13">
        <f t="shared" si="5"/>
        <v>0</v>
      </c>
      <c r="K284" s="14">
        <f>E284-L284-J284</f>
        <v>0</v>
      </c>
      <c r="L284" s="14">
        <f>E284*I284</f>
        <v>0</v>
      </c>
      <c r="M284" s="11">
        <f>J284*F284</f>
        <v>0</v>
      </c>
      <c r="N284" s="11">
        <f>K284*F284</f>
        <v>0</v>
      </c>
      <c r="O284" s="12">
        <f>L284*F284</f>
        <v>0</v>
      </c>
    </row>
    <row r="285" spans="1:17" x14ac:dyDescent="0.25">
      <c r="A285" s="102" t="str">
        <f>IF(Table8[[#This Row],[in-game_name]]&lt;&gt;"",ROW(A284),"")</f>
        <v/>
      </c>
      <c r="B285" s="104"/>
      <c r="C285" s="92">
        <f>_xlfn.XLOOKUP(B285,Table4[in-game_name],Table4[user_number],"User Not Found")</f>
        <v>0</v>
      </c>
      <c r="D285" s="3"/>
      <c r="F285" s="8"/>
      <c r="J285" s="13">
        <f t="shared" si="5"/>
        <v>0</v>
      </c>
      <c r="K285" s="14">
        <f>E285-L285-J285</f>
        <v>0</v>
      </c>
      <c r="L285" s="14">
        <f>E285*I285</f>
        <v>0</v>
      </c>
      <c r="M285" s="11">
        <f>J285*F285</f>
        <v>0</v>
      </c>
      <c r="N285" s="11">
        <f>K285*F285</f>
        <v>0</v>
      </c>
      <c r="O285" s="12">
        <f>L285*F285</f>
        <v>0</v>
      </c>
      <c r="Q285" s="3"/>
    </row>
    <row r="286" spans="1:17" x14ac:dyDescent="0.25">
      <c r="A286" s="102" t="str">
        <f>IF(Table8[[#This Row],[in-game_name]]&lt;&gt;"",ROW(A285),"")</f>
        <v/>
      </c>
      <c r="B286" s="104"/>
      <c r="C286" s="92">
        <f>_xlfn.XLOOKUP(B286,Table4[in-game_name],Table4[user_number],"User Not Found")</f>
        <v>0</v>
      </c>
      <c r="D286" s="3"/>
      <c r="F286" s="8"/>
      <c r="J286" s="13">
        <f t="shared" si="5"/>
        <v>0</v>
      </c>
      <c r="K286" s="14">
        <f>E286-L286-J286</f>
        <v>0</v>
      </c>
      <c r="L286" s="14">
        <f>E286*I286</f>
        <v>0</v>
      </c>
      <c r="M286" s="11">
        <f>J286*F286</f>
        <v>0</v>
      </c>
      <c r="N286" s="11">
        <f>K286*F286</f>
        <v>0</v>
      </c>
      <c r="O286" s="12">
        <f>L286*F286</f>
        <v>0</v>
      </c>
      <c r="Q286" s="3"/>
    </row>
    <row r="287" spans="1:17" x14ac:dyDescent="0.25">
      <c r="A287" s="102" t="str">
        <f>IF(Table8[[#This Row],[in-game_name]]&lt;&gt;"",ROW(A286),"")</f>
        <v/>
      </c>
      <c r="B287" s="104"/>
      <c r="C287" s="92">
        <f>_xlfn.XLOOKUP(B287,Table4[in-game_name],Table4[user_number],"User Not Found")</f>
        <v>0</v>
      </c>
      <c r="D287" s="3"/>
      <c r="F287" s="8"/>
      <c r="J287" s="13">
        <f t="shared" si="5"/>
        <v>0</v>
      </c>
      <c r="K287" s="14">
        <f>E287-L287-J287</f>
        <v>0</v>
      </c>
      <c r="L287" s="14">
        <f>E287*I287</f>
        <v>0</v>
      </c>
      <c r="M287" s="11">
        <f>J287*F287</f>
        <v>0</v>
      </c>
      <c r="N287" s="11">
        <f>K287*F287</f>
        <v>0</v>
      </c>
      <c r="O287" s="12">
        <f>L287*F287</f>
        <v>0</v>
      </c>
    </row>
    <row r="288" spans="1:17" x14ac:dyDescent="0.25">
      <c r="A288" s="102" t="str">
        <f>IF(Table8[[#This Row],[in-game_name]]&lt;&gt;"",ROW(A287),"")</f>
        <v/>
      </c>
      <c r="B288" s="104"/>
      <c r="C288" s="92">
        <f>_xlfn.XLOOKUP(B288,Table4[in-game_name],Table4[user_number],"User Not Found")</f>
        <v>0</v>
      </c>
      <c r="D288" s="3"/>
      <c r="F288" s="8"/>
      <c r="J288" s="13">
        <f t="shared" si="5"/>
        <v>0</v>
      </c>
      <c r="K288" s="14">
        <f>E288-L288-J288</f>
        <v>0</v>
      </c>
      <c r="L288" s="14">
        <f>E288*I288</f>
        <v>0</v>
      </c>
      <c r="M288" s="11">
        <f>J288*F288</f>
        <v>0</v>
      </c>
      <c r="N288" s="11">
        <f>K288*F288</f>
        <v>0</v>
      </c>
      <c r="O288" s="12">
        <f>L288*F288</f>
        <v>0</v>
      </c>
    </row>
    <row r="289" spans="1:18" x14ac:dyDescent="0.25">
      <c r="A289" s="102" t="str">
        <f>IF(Table8[[#This Row],[in-game_name]]&lt;&gt;"",ROW(A288),"")</f>
        <v/>
      </c>
      <c r="B289" s="104"/>
      <c r="C289" s="92">
        <f>_xlfn.XLOOKUP(B289,Table4[in-game_name],Table4[user_number],"User Not Found")</f>
        <v>0</v>
      </c>
      <c r="D289" s="3"/>
      <c r="F289" s="8"/>
      <c r="J289" s="13">
        <f t="shared" si="5"/>
        <v>0</v>
      </c>
      <c r="K289" s="14">
        <f>E289-L289-J289</f>
        <v>0</v>
      </c>
      <c r="L289" s="14">
        <f>E289*I289</f>
        <v>0</v>
      </c>
      <c r="M289" s="11">
        <f>J289*F289</f>
        <v>0</v>
      </c>
      <c r="N289" s="11">
        <f>K289*F289</f>
        <v>0</v>
      </c>
      <c r="O289" s="12">
        <f>L289*F289</f>
        <v>0</v>
      </c>
      <c r="R289" s="47"/>
    </row>
    <row r="290" spans="1:18" x14ac:dyDescent="0.25">
      <c r="A290" s="102" t="str">
        <f>IF(Table8[[#This Row],[in-game_name]]&lt;&gt;"",ROW(A289),"")</f>
        <v/>
      </c>
      <c r="B290" s="104"/>
      <c r="C290" s="92">
        <f>_xlfn.XLOOKUP(B290,Table4[in-game_name],Table4[user_number],"User Not Found")</f>
        <v>0</v>
      </c>
      <c r="D290" s="3"/>
      <c r="F290" s="8"/>
      <c r="J290" s="13">
        <f t="shared" si="5"/>
        <v>0</v>
      </c>
      <c r="K290" s="14">
        <f>E290-L290-J290</f>
        <v>0</v>
      </c>
      <c r="L290" s="14">
        <f>E290*I290</f>
        <v>0</v>
      </c>
      <c r="M290" s="11">
        <f>J290*F290</f>
        <v>0</v>
      </c>
      <c r="N290" s="11">
        <f>K290*F290</f>
        <v>0</v>
      </c>
      <c r="O290" s="12">
        <f>L290*F290</f>
        <v>0</v>
      </c>
    </row>
    <row r="291" spans="1:18" x14ac:dyDescent="0.25">
      <c r="A291" s="102" t="str">
        <f>IF(Table8[[#This Row],[in-game_name]]&lt;&gt;"",ROW(A290),"")</f>
        <v/>
      </c>
      <c r="B291" s="104"/>
      <c r="C291" s="92">
        <f>_xlfn.XLOOKUP(B291,Table4[in-game_name],Table4[user_number],"User Not Found")</f>
        <v>0</v>
      </c>
      <c r="D291" s="3"/>
      <c r="F291" s="8"/>
      <c r="J291" s="13">
        <f t="shared" si="5"/>
        <v>0</v>
      </c>
      <c r="K291" s="14">
        <f>E291-L291-J291</f>
        <v>0</v>
      </c>
      <c r="L291" s="14">
        <f>E291*I291</f>
        <v>0</v>
      </c>
      <c r="M291" s="11">
        <f>J291*F291</f>
        <v>0</v>
      </c>
      <c r="N291" s="11">
        <f>K291*F291</f>
        <v>0</v>
      </c>
      <c r="O291" s="12">
        <f>L291*F291</f>
        <v>0</v>
      </c>
    </row>
    <row r="292" spans="1:18" x14ac:dyDescent="0.25">
      <c r="A292" s="102" t="str">
        <f>IF(Table8[[#This Row],[in-game_name]]&lt;&gt;"",ROW(A291),"")</f>
        <v/>
      </c>
      <c r="B292" s="104"/>
      <c r="C292" s="92">
        <f>_xlfn.XLOOKUP(B292,Table4[in-game_name],Table4[user_number],"User Not Found")</f>
        <v>0</v>
      </c>
      <c r="D292" s="3"/>
      <c r="F292" s="8"/>
      <c r="J292" s="13">
        <f t="shared" si="5"/>
        <v>0</v>
      </c>
      <c r="K292" s="14">
        <f>E292-L292-J292</f>
        <v>0</v>
      </c>
      <c r="L292" s="14">
        <f>E292*I292</f>
        <v>0</v>
      </c>
      <c r="M292" s="11">
        <f>J292*F292</f>
        <v>0</v>
      </c>
      <c r="N292" s="11">
        <f>K292*F292</f>
        <v>0</v>
      </c>
      <c r="O292" s="12">
        <f>L292*F292</f>
        <v>0</v>
      </c>
    </row>
    <row r="293" spans="1:18" x14ac:dyDescent="0.25">
      <c r="A293" s="102" t="str">
        <f>IF(Table8[[#This Row],[in-game_name]]&lt;&gt;"",ROW(A292),"")</f>
        <v/>
      </c>
      <c r="B293" s="104"/>
      <c r="C293" s="92">
        <f>_xlfn.XLOOKUP(B293,Table4[in-game_name],Table4[user_number],"User Not Found")</f>
        <v>0</v>
      </c>
      <c r="D293" s="3"/>
      <c r="F293" s="8"/>
      <c r="J293" s="13">
        <f t="shared" si="5"/>
        <v>0</v>
      </c>
      <c r="K293" s="14">
        <f>E293-L293-J293</f>
        <v>0</v>
      </c>
      <c r="L293" s="14">
        <f>E293*I293</f>
        <v>0</v>
      </c>
      <c r="M293" s="11">
        <f>J293*F293</f>
        <v>0</v>
      </c>
      <c r="N293" s="11">
        <f>K293*F293</f>
        <v>0</v>
      </c>
      <c r="O293" s="12">
        <f>L293*F293</f>
        <v>0</v>
      </c>
    </row>
    <row r="294" spans="1:18" x14ac:dyDescent="0.25">
      <c r="A294" s="102" t="str">
        <f>IF(Table8[[#This Row],[in-game_name]]&lt;&gt;"",ROW(A293),"")</f>
        <v/>
      </c>
      <c r="B294" s="104"/>
      <c r="C294" s="92">
        <f>_xlfn.XLOOKUP(B294,Table4[in-game_name],Table4[user_number],"User Not Found")</f>
        <v>0</v>
      </c>
      <c r="D294" s="3"/>
      <c r="F294" s="8"/>
      <c r="J294" s="13">
        <f t="shared" si="5"/>
        <v>0</v>
      </c>
      <c r="K294" s="14">
        <f>E294-L294-J294</f>
        <v>0</v>
      </c>
      <c r="L294" s="14">
        <f>E294*I294</f>
        <v>0</v>
      </c>
      <c r="M294" s="11">
        <f>J294*F294</f>
        <v>0</v>
      </c>
      <c r="N294" s="11">
        <f>K294*F294</f>
        <v>0</v>
      </c>
      <c r="O294" s="12">
        <f>L294*F294</f>
        <v>0</v>
      </c>
    </row>
    <row r="295" spans="1:18" x14ac:dyDescent="0.25">
      <c r="A295" s="102" t="str">
        <f>IF(Table8[[#This Row],[in-game_name]]&lt;&gt;"",ROW(A294),"")</f>
        <v/>
      </c>
      <c r="B295" s="104"/>
      <c r="C295" s="92">
        <f>_xlfn.XLOOKUP(B295,Table4[in-game_name],Table4[user_number],"User Not Found")</f>
        <v>0</v>
      </c>
      <c r="D295" s="3"/>
      <c r="F295" s="8"/>
      <c r="J295" s="13">
        <f t="shared" si="5"/>
        <v>0</v>
      </c>
      <c r="K295" s="14">
        <f>E295-L295-J295</f>
        <v>0</v>
      </c>
      <c r="L295" s="14">
        <f>E295*I295</f>
        <v>0</v>
      </c>
      <c r="M295" s="11">
        <f>J295*F295</f>
        <v>0</v>
      </c>
      <c r="N295" s="11">
        <f>K295*F295</f>
        <v>0</v>
      </c>
      <c r="O295" s="12">
        <f>L295*F295</f>
        <v>0</v>
      </c>
    </row>
    <row r="296" spans="1:18" x14ac:dyDescent="0.25">
      <c r="A296" s="102" t="str">
        <f>IF(Table8[[#This Row],[in-game_name]]&lt;&gt;"",ROW(A295),"")</f>
        <v/>
      </c>
      <c r="B296" s="104"/>
      <c r="C296" s="92">
        <f>_xlfn.XLOOKUP(B296,Table4[in-game_name],Table4[user_number],"User Not Found")</f>
        <v>0</v>
      </c>
      <c r="D296" s="3"/>
      <c r="F296" s="8"/>
      <c r="J296" s="13">
        <f t="shared" si="5"/>
        <v>0</v>
      </c>
      <c r="K296" s="14">
        <f>E296-L296-J296</f>
        <v>0</v>
      </c>
      <c r="L296" s="14">
        <f>E296*I296</f>
        <v>0</v>
      </c>
      <c r="M296" s="11">
        <f>J296*F296</f>
        <v>0</v>
      </c>
      <c r="N296" s="11">
        <f>K296*F296</f>
        <v>0</v>
      </c>
      <c r="O296" s="12">
        <f>L296*F296</f>
        <v>0</v>
      </c>
    </row>
    <row r="297" spans="1:18" x14ac:dyDescent="0.25">
      <c r="A297" s="102" t="str">
        <f>IF(Table8[[#This Row],[in-game_name]]&lt;&gt;"",ROW(A296),"")</f>
        <v/>
      </c>
      <c r="B297" s="104"/>
      <c r="C297" s="92">
        <f>_xlfn.XLOOKUP(B297,Table4[in-game_name],Table4[user_number],"User Not Found")</f>
        <v>0</v>
      </c>
      <c r="D297" s="3"/>
      <c r="F297" s="8"/>
      <c r="J297" s="13">
        <f t="shared" si="5"/>
        <v>0</v>
      </c>
      <c r="K297" s="14">
        <f>E297-L297-J297</f>
        <v>0</v>
      </c>
      <c r="L297" s="14">
        <f>E297*I297</f>
        <v>0</v>
      </c>
      <c r="M297" s="11">
        <f>J297*F297</f>
        <v>0</v>
      </c>
      <c r="N297" s="11">
        <f>K297*F297</f>
        <v>0</v>
      </c>
      <c r="O297" s="12">
        <f>L297*F297</f>
        <v>0</v>
      </c>
    </row>
    <row r="298" spans="1:18" x14ac:dyDescent="0.25">
      <c r="A298" s="102" t="str">
        <f>IF(Table8[[#This Row],[in-game_name]]&lt;&gt;"",ROW(A297),"")</f>
        <v/>
      </c>
      <c r="B298" s="104"/>
      <c r="C298" s="92">
        <f>_xlfn.XLOOKUP(B298,Table4[in-game_name],Table4[user_number],"User Not Found")</f>
        <v>0</v>
      </c>
      <c r="D298" s="3"/>
      <c r="F298" s="8"/>
      <c r="J298" s="13">
        <f t="shared" si="5"/>
        <v>0</v>
      </c>
      <c r="K298" s="14">
        <f>E298-L298-J298</f>
        <v>0</v>
      </c>
      <c r="L298" s="14">
        <f>E298*I298</f>
        <v>0</v>
      </c>
      <c r="M298" s="11">
        <f>J298*F298</f>
        <v>0</v>
      </c>
      <c r="N298" s="11">
        <f>K298*F298</f>
        <v>0</v>
      </c>
      <c r="O298" s="12">
        <f>L298*F298</f>
        <v>0</v>
      </c>
    </row>
    <row r="299" spans="1:18" x14ac:dyDescent="0.25">
      <c r="A299" s="102" t="str">
        <f>IF(Table8[[#This Row],[in-game_name]]&lt;&gt;"",ROW(A298),"")</f>
        <v/>
      </c>
      <c r="B299" s="104"/>
      <c r="C299" s="92">
        <f>_xlfn.XLOOKUP(B299,Table4[in-game_name],Table4[user_number],"User Not Found")</f>
        <v>0</v>
      </c>
      <c r="D299" s="3"/>
      <c r="F299" s="8"/>
      <c r="J299" s="13">
        <f t="shared" si="5"/>
        <v>0</v>
      </c>
      <c r="K299" s="14">
        <f>E299-L299-J299</f>
        <v>0</v>
      </c>
      <c r="L299" s="14">
        <f>E299*I299</f>
        <v>0</v>
      </c>
      <c r="M299" s="11">
        <f>J299*F299</f>
        <v>0</v>
      </c>
      <c r="N299" s="11">
        <f>K299*F299</f>
        <v>0</v>
      </c>
      <c r="O299" s="12">
        <f>L299*F299</f>
        <v>0</v>
      </c>
    </row>
    <row r="300" spans="1:18" ht="16.5" customHeight="1" x14ac:dyDescent="0.25">
      <c r="A300" s="102" t="str">
        <f>IF(Table8[[#This Row],[in-game_name]]&lt;&gt;"",ROW(A299),"")</f>
        <v/>
      </c>
      <c r="B300" s="104"/>
      <c r="C300" s="92">
        <f>_xlfn.XLOOKUP(B300,Table4[in-game_name],Table4[user_number],"User Not Found")</f>
        <v>0</v>
      </c>
      <c r="D300" s="3"/>
      <c r="F300" s="8"/>
      <c r="J300" s="13">
        <f t="shared" si="5"/>
        <v>0</v>
      </c>
      <c r="K300" s="14">
        <f>E300-L300-J300</f>
        <v>0</v>
      </c>
      <c r="L300" s="14">
        <f>E300*I300</f>
        <v>0</v>
      </c>
      <c r="M300" s="11">
        <f>J300*F300</f>
        <v>0</v>
      </c>
      <c r="N300" s="11">
        <f>K300*F300</f>
        <v>0</v>
      </c>
      <c r="O300" s="12">
        <f>L300*F300</f>
        <v>0</v>
      </c>
    </row>
    <row r="301" spans="1:18" x14ac:dyDescent="0.25">
      <c r="A301" s="102" t="str">
        <f>IF(Table8[[#This Row],[in-game_name]]&lt;&gt;"",ROW(A300),"")</f>
        <v/>
      </c>
      <c r="B301" s="106"/>
      <c r="C301" s="93">
        <f>_xlfn.XLOOKUP(B301,Table4[in-game_name],Table4[user_number],"User Not Found")</f>
        <v>0</v>
      </c>
      <c r="D301" s="17"/>
      <c r="E301" s="16"/>
      <c r="F301" s="18"/>
      <c r="G301" s="16"/>
      <c r="H301" s="16"/>
      <c r="I301" s="16"/>
      <c r="J301" s="13">
        <f t="shared" si="5"/>
        <v>0</v>
      </c>
      <c r="K301" s="14">
        <f>E301-L301-J301</f>
        <v>0</v>
      </c>
      <c r="L301" s="14">
        <f>E301*I301</f>
        <v>0</v>
      </c>
      <c r="M301" s="11">
        <f>J301*F301</f>
        <v>0</v>
      </c>
      <c r="N301" s="11">
        <f>K301*F301</f>
        <v>0</v>
      </c>
      <c r="O301" s="12">
        <f>L301*F301</f>
        <v>0</v>
      </c>
    </row>
    <row r="302" spans="1:18" x14ac:dyDescent="0.25">
      <c r="A302" s="94"/>
      <c r="B302" s="107"/>
      <c r="C302" s="95"/>
      <c r="D302" s="96"/>
      <c r="E302" s="101">
        <f>SUM(Table8[slp_farmed])</f>
        <v>600956</v>
      </c>
      <c r="F302" s="98"/>
      <c r="G302" s="97"/>
      <c r="H302" s="97"/>
      <c r="I302" s="97"/>
      <c r="J302" s="108">
        <f>SUM(Table8[outsource_slp])</f>
        <v>61477.930249999983</v>
      </c>
      <c r="K302" s="101">
        <f>SUM(Table8[user_slp])</f>
        <v>268618.29097999999</v>
      </c>
      <c r="L302" s="101">
        <f>SUM(Table8[manager_slp])</f>
        <v>270859.77876999998</v>
      </c>
      <c r="M302" s="99">
        <f>SUM(Table8[outsource_php])</f>
        <v>248457.45417500008</v>
      </c>
      <c r="N302" s="99">
        <f>SUM(Table8[user_php])</f>
        <v>1134516.4227474004</v>
      </c>
      <c r="O302" s="100">
        <f>SUM(Table8[manager_php])</f>
        <v>1190856.1830776006</v>
      </c>
    </row>
    <row r="303" spans="1:18" x14ac:dyDescent="0.25">
      <c r="A303" s="15"/>
      <c r="D303" s="3"/>
    </row>
    <row r="304" spans="1:18" x14ac:dyDescent="0.25">
      <c r="A304" s="15"/>
      <c r="D304" s="3"/>
    </row>
    <row r="305" spans="1:4" x14ac:dyDescent="0.25">
      <c r="A305" s="15"/>
      <c r="D305" s="3"/>
    </row>
    <row r="306" spans="1:4" x14ac:dyDescent="0.25">
      <c r="A306" s="15"/>
      <c r="D306" s="3"/>
    </row>
    <row r="307" spans="1:4" x14ac:dyDescent="0.25">
      <c r="A307" s="15"/>
      <c r="D307" s="3"/>
    </row>
    <row r="308" spans="1:4" x14ac:dyDescent="0.25">
      <c r="A308" s="15"/>
      <c r="D308" s="3"/>
    </row>
    <row r="309" spans="1:4" x14ac:dyDescent="0.25">
      <c r="A309" s="15"/>
      <c r="D309" s="3"/>
    </row>
    <row r="310" spans="1:4" x14ac:dyDescent="0.25">
      <c r="A310" s="15"/>
      <c r="D310" s="3"/>
    </row>
    <row r="311" spans="1:4" x14ac:dyDescent="0.25">
      <c r="A311" s="15"/>
      <c r="D311" s="3"/>
    </row>
    <row r="312" spans="1:4" x14ac:dyDescent="0.25">
      <c r="A312" s="15"/>
      <c r="D312" s="3"/>
    </row>
    <row r="313" spans="1:4" x14ac:dyDescent="0.25">
      <c r="A313" s="15"/>
      <c r="D313" s="3"/>
    </row>
    <row r="314" spans="1:4" x14ac:dyDescent="0.25">
      <c r="A314" s="15"/>
      <c r="D314" s="3"/>
    </row>
    <row r="315" spans="1:4" x14ac:dyDescent="0.25">
      <c r="A315" s="15"/>
      <c r="D315" s="3"/>
    </row>
    <row r="316" spans="1:4" x14ac:dyDescent="0.25">
      <c r="A316" s="15"/>
      <c r="D316" s="3"/>
    </row>
  </sheetData>
  <sortState xmlns:xlrd2="http://schemas.microsoft.com/office/spreadsheetml/2017/richdata2" ref="Q20:R68">
    <sortCondition descending="1" ref="R68"/>
  </sortState>
  <phoneticPr fontId="2" type="noConversion"/>
  <conditionalFormatting sqref="C1:C301">
    <cfRule type="cellIs" dxfId="6" priority="1" operator="equal">
      <formula>0</formula>
    </cfRule>
  </conditionalFormatting>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E3A80-5F3A-47CD-AAA7-A27A0C5945EE}">
  <sheetPr codeName="Sheet6"/>
  <dimension ref="A1:I55"/>
  <sheetViews>
    <sheetView workbookViewId="0">
      <pane ySplit="1" topLeftCell="A2" activePane="bottomLeft" state="frozen"/>
      <selection pane="bottomLeft" activeCell="B1" sqref="B1"/>
    </sheetView>
  </sheetViews>
  <sheetFormatPr defaultRowHeight="16.5" x14ac:dyDescent="0.3"/>
  <cols>
    <col min="1" max="1" width="17.28515625" style="5" bestFit="1" customWidth="1"/>
    <col min="2" max="2" width="18.7109375" style="5" bestFit="1" customWidth="1"/>
    <col min="3" max="3" width="15.42578125" style="5" bestFit="1" customWidth="1"/>
    <col min="4" max="4" width="19.42578125" style="4" bestFit="1" customWidth="1"/>
    <col min="5" max="5" width="15.28515625" style="5" bestFit="1" customWidth="1"/>
    <col min="6" max="6" width="16.42578125" style="5" bestFit="1" customWidth="1"/>
    <col min="7" max="7" width="20" style="5" bestFit="1" customWidth="1"/>
    <col min="8" max="8" width="34.85546875" style="4" bestFit="1" customWidth="1"/>
    <col min="9" max="9" width="31" style="5" bestFit="1" customWidth="1"/>
    <col min="10" max="10" width="9.140625" style="5"/>
    <col min="11" max="11" width="7.85546875" style="5" bestFit="1" customWidth="1"/>
    <col min="12" max="12" width="10.7109375" style="5" bestFit="1" customWidth="1"/>
    <col min="13" max="16384" width="9.140625" style="5"/>
  </cols>
  <sheetData>
    <row r="1" spans="1:9" ht="18" thickBot="1" x14ac:dyDescent="0.35">
      <c r="A1" s="247" t="s">
        <v>112</v>
      </c>
      <c r="B1" s="247" t="s">
        <v>113</v>
      </c>
      <c r="C1" s="247" t="s">
        <v>322</v>
      </c>
      <c r="D1" s="247" t="s">
        <v>323</v>
      </c>
      <c r="E1" s="247" t="s">
        <v>324</v>
      </c>
      <c r="F1" s="247" t="s">
        <v>325</v>
      </c>
      <c r="G1" s="247" t="s">
        <v>326</v>
      </c>
      <c r="H1" s="247" t="s">
        <v>327</v>
      </c>
      <c r="I1" s="247" t="s">
        <v>328</v>
      </c>
    </row>
    <row r="2" spans="1:9" ht="17.25" thickTop="1" x14ac:dyDescent="0.25">
      <c r="A2" s="137">
        <v>1</v>
      </c>
      <c r="B2" s="39" t="s">
        <v>5</v>
      </c>
      <c r="C2" s="138">
        <f>SUMIF(Table8[in-game_name],Table7[[#This Row],[in-game_name]],Table8[slp_farmed])</f>
        <v>41835</v>
      </c>
      <c r="D2" s="138" cm="1">
        <f t="array" ref="D2">_xlfn._xlws.FILTER(Table8[slp_farmed],(Table8[in-game_name]=Table7[[#This Row],[in-game_name]])*(Table8[date]=Table7[[#This Row],[last_payout]]))</f>
        <v>4705</v>
      </c>
      <c r="E2" s="139">
        <f xml:space="preserve"> _xlfn.XLOOKUP(B2,Transactions!$B$2:$B$301,Transactions!$D$2:$D$301,"Not Found",,-1)</f>
        <v>44575</v>
      </c>
      <c r="F2" s="139">
        <f>Table7[[#This Row],[last_payout]]+Table4[[#This Row],[payout_days_interval]]</f>
        <v>44589</v>
      </c>
      <c r="G2" s="140" cm="1">
        <f t="array" ref="G2">SUM(_xlfn.XLOOKUP(Table7[[#This Row],[in-game_name]],Table8[[#Data],[#Totals],[in-game_name]],Table8[[#Data],[#Totals],[date]],,,-1),-_xlfn.XLOOKUP(Table7[[#This Row],[in-game_name]],Table8[[#Data],[#Totals],[in-game_name]],Table8[[#Data],[#Totals],[date]],,,1))</f>
        <v>191</v>
      </c>
      <c r="H2" s="141">
        <f>IFERROR(Table7[[#This Row],[lifetime_slp]]/(Table7[[#This Row],[career_duration]]/30.5),Table7[[#This Row],[lifetime_slp]]*1)</f>
        <v>6680.4581151832454</v>
      </c>
      <c r="I2" s="152">
        <f>IFERROR(Table7[[#This Row],[lifetime_slp]]/Table7[[#This Row],[career_duration]],Table7[[#This Row],[lifetime_slp]]*1/14)</f>
        <v>219.03141361256544</v>
      </c>
    </row>
    <row r="3" spans="1:9" x14ac:dyDescent="0.25">
      <c r="A3" s="142">
        <v>2</v>
      </c>
      <c r="B3" s="1" t="s">
        <v>11</v>
      </c>
      <c r="C3" s="143">
        <f>SUMIF(Table8[in-game_name],Table7[[#This Row],[in-game_name]],Table8[slp_farmed])</f>
        <v>22323</v>
      </c>
      <c r="D3" s="143" cm="1">
        <f t="array" ref="D3">_xlfn._xlws.FILTER(Table8[slp_farmed],(Table8[in-game_name]=Table7[[#This Row],[in-game_name]])*(Table8[date]=Table7[[#This Row],[last_payout]]))</f>
        <v>3605</v>
      </c>
      <c r="E3" s="132">
        <f xml:space="preserve"> _xlfn.XLOOKUP(B3,Transactions!$B$2:$B$301,Transactions!$D$2:$D$301,"Not Found",,-1)</f>
        <v>44530</v>
      </c>
      <c r="F3" s="132">
        <f>Table7[[#This Row],[last_payout]]+Table4[[#This Row],[payout_days_interval]]</f>
        <v>44544</v>
      </c>
      <c r="G3" s="144" cm="1">
        <f t="array" ref="G3">SUM(_xlfn.XLOOKUP(Table7[[#This Row],[in-game_name]],Table8[[#Data],[#Totals],[in-game_name]],Table8[[#Data],[#Totals],[date]],,,-1),-_xlfn.XLOOKUP(Table7[[#This Row],[in-game_name]],Table8[[#Data],[#Totals],[in-game_name]],Table8[[#Data],[#Totals],[date]],,,1))</f>
        <v>139</v>
      </c>
      <c r="H3" s="145">
        <f>IFERROR(Table7[[#This Row],[lifetime_slp]]/(Table7[[#This Row],[career_duration]]/30.5),Table7[[#This Row],[lifetime_slp]]*1)</f>
        <v>4898.2122302158268</v>
      </c>
      <c r="I3" s="153">
        <f>IFERROR(Table7[[#This Row],[lifetime_slp]]/Table7[[#This Row],[career_duration]],Table7[[#This Row],[lifetime_slp]]*1/14)</f>
        <v>160.59712230215828</v>
      </c>
    </row>
    <row r="4" spans="1:9" x14ac:dyDescent="0.25">
      <c r="A4" s="142">
        <v>3</v>
      </c>
      <c r="B4" s="134" t="s">
        <v>17</v>
      </c>
      <c r="C4" s="143">
        <f>SUMIF(Table8[in-game_name],Table7[[#This Row],[in-game_name]],Table8[slp_farmed])</f>
        <v>27974</v>
      </c>
      <c r="D4" s="143" cm="1">
        <f t="array" ref="D4">_xlfn._xlws.FILTER(Table8[slp_farmed],(Table8[in-game_name]=Table7[[#This Row],[in-game_name]])*(Table8[date]=Table7[[#This Row],[last_payout]]))</f>
        <v>3414</v>
      </c>
      <c r="E4" s="132">
        <f xml:space="preserve"> _xlfn.XLOOKUP(B4,Transactions!$B$2:$B$301,Transactions!$D$2:$D$301,"Not Found",,-1)</f>
        <v>44529</v>
      </c>
      <c r="F4" s="132">
        <f>Table7[[#This Row],[last_payout]]+Table4[[#This Row],[payout_days_interval]]</f>
        <v>44543</v>
      </c>
      <c r="G4" s="144" cm="1">
        <f t="array" ref="G4">SUM(_xlfn.XLOOKUP(Table7[[#This Row],[in-game_name]],Table8[[#Data],[#Totals],[in-game_name]],Table8[[#Data],[#Totals],[date]],,,-1),-_xlfn.XLOOKUP(Table7[[#This Row],[in-game_name]],Table8[[#Data],[#Totals],[in-game_name]],Table8[[#Data],[#Totals],[date]],,,1))</f>
        <v>145</v>
      </c>
      <c r="H4" s="145">
        <f>IFERROR(Table7[[#This Row],[lifetime_slp]]/(Table7[[#This Row],[career_duration]]/30.5),Table7[[#This Row],[lifetime_slp]]*1)</f>
        <v>5884.1862068965511</v>
      </c>
      <c r="I4" s="153">
        <f>IFERROR(Table7[[#This Row],[lifetime_slp]]/Table7[[#This Row],[career_duration]],Table7[[#This Row],[lifetime_slp]]*1/14)</f>
        <v>192.92413793103449</v>
      </c>
    </row>
    <row r="5" spans="1:9" x14ac:dyDescent="0.25">
      <c r="A5" s="142">
        <v>4</v>
      </c>
      <c r="B5" s="1" t="s">
        <v>23</v>
      </c>
      <c r="C5" s="143">
        <f>SUMIF(Table8[in-game_name],Table7[[#This Row],[in-game_name]],Table8[slp_farmed])</f>
        <v>1342</v>
      </c>
      <c r="D5" s="143" cm="1">
        <f t="array" ref="D5">_xlfn._xlws.FILTER(Table8[slp_farmed],(Table8[in-game_name]=Table7[[#This Row],[in-game_name]])*(Table8[date]=Table7[[#This Row],[last_payout]]))</f>
        <v>1195</v>
      </c>
      <c r="E5" s="132">
        <f xml:space="preserve"> _xlfn.XLOOKUP(B5,Transactions!$B$2:$B$301,Transactions!$D$2:$D$301,"Not Found",,-1)</f>
        <v>44577</v>
      </c>
      <c r="F5" s="132">
        <f>Table7[[#This Row],[last_payout]]+Table4[[#This Row],[payout_days_interval]]</f>
        <v>44591</v>
      </c>
      <c r="G5" s="144" cm="1">
        <f t="array" ref="G5">SUM(_xlfn.XLOOKUP(Table7[[#This Row],[in-game_name]],Table8[[#Data],[#Totals],[in-game_name]],Table8[[#Data],[#Totals],[date]],,,-1),-_xlfn.XLOOKUP(Table7[[#This Row],[in-game_name]],Table8[[#Data],[#Totals],[in-game_name]],Table8[[#Data],[#Totals],[date]],,,1))</f>
        <v>13</v>
      </c>
      <c r="H5" s="145">
        <f>IFERROR(Table7[[#This Row],[lifetime_slp]]/(Table7[[#This Row],[career_duration]]/30.5),Table7[[#This Row],[lifetime_slp]]*1)</f>
        <v>3148.5384615384619</v>
      </c>
      <c r="I5" s="153">
        <f>IFERROR(Table7[[#This Row],[lifetime_slp]]/Table7[[#This Row],[career_duration]],Table7[[#This Row],[lifetime_slp]]*1/14)</f>
        <v>103.23076923076923</v>
      </c>
    </row>
    <row r="6" spans="1:9" x14ac:dyDescent="0.25">
      <c r="A6" s="142">
        <v>5</v>
      </c>
      <c r="B6" s="1" t="s">
        <v>27</v>
      </c>
      <c r="C6" s="143">
        <f>SUMIF(Table8[in-game_name],Table7[[#This Row],[in-game_name]],Table8[slp_farmed])</f>
        <v>3069</v>
      </c>
      <c r="D6" s="143" cm="1">
        <f t="array" ref="D6">_xlfn._xlws.FILTER(Table8[slp_farmed],(Table8[in-game_name]=Table7[[#This Row],[in-game_name]])*(Table8[date]=Table7[[#This Row],[last_payout]]))</f>
        <v>384</v>
      </c>
      <c r="E6" s="132">
        <f xml:space="preserve"> _xlfn.XLOOKUP(B6,Transactions!$B$2:$B$301,Transactions!$D$2:$D$301,"Not Found",,-1)</f>
        <v>44435</v>
      </c>
      <c r="F6" s="132">
        <f>Table7[[#This Row],[last_payout]]+Table4[[#This Row],[payout_days_interval]]</f>
        <v>44465</v>
      </c>
      <c r="G6" s="144" cm="1">
        <f t="array" ref="G6">SUM(_xlfn.XLOOKUP(Table7[[#This Row],[in-game_name]],Table8[[#Data],[#Totals],[in-game_name]],Table8[[#Data],[#Totals],[date]],,,-1),-_xlfn.XLOOKUP(Table7[[#This Row],[in-game_name]],Table8[[#Data],[#Totals],[in-game_name]],Table8[[#Data],[#Totals],[date]],,,1))</f>
        <v>4</v>
      </c>
      <c r="H6" s="145">
        <f>IFERROR(Table7[[#This Row],[lifetime_slp]]/(Table7[[#This Row],[career_duration]]/30.5),Table7[[#This Row],[lifetime_slp]]*1)</f>
        <v>23401.125</v>
      </c>
      <c r="I6" s="153">
        <f>IFERROR(Table7[[#This Row],[lifetime_slp]]/Table7[[#This Row],[career_duration]],Table7[[#This Row],[lifetime_slp]]*1/14)</f>
        <v>767.25</v>
      </c>
    </row>
    <row r="7" spans="1:9" x14ac:dyDescent="0.25">
      <c r="A7" s="142">
        <v>6</v>
      </c>
      <c r="B7" s="1" t="s">
        <v>31</v>
      </c>
      <c r="C7" s="143">
        <f>SUMIF(Table8[in-game_name],Table7[[#This Row],[in-game_name]],Table8[slp_farmed])</f>
        <v>601</v>
      </c>
      <c r="D7" s="143" cm="1">
        <f t="array" ref="D7">_xlfn._xlws.FILTER(Table8[slp_farmed],(Table8[in-game_name]=Table7[[#This Row],[in-game_name]])*(Table8[date]=Table7[[#This Row],[last_payout]]))</f>
        <v>601</v>
      </c>
      <c r="E7" s="132">
        <f xml:space="preserve"> _xlfn.XLOOKUP(B7,Transactions!$B$2:$B$301,Transactions!$D$2:$D$301,"Not Found",,-1)</f>
        <v>44574</v>
      </c>
      <c r="F7" s="132">
        <f>Table7[[#This Row],[last_payout]]+Table4[[#This Row],[payout_days_interval]]</f>
        <v>44592</v>
      </c>
      <c r="G7" s="144" cm="1">
        <f t="array" ref="G7">SUM(_xlfn.XLOOKUP(Table7[[#This Row],[in-game_name]],Table8[[#Data],[#Totals],[in-game_name]],Table8[[#Data],[#Totals],[date]],,,-1),-_xlfn.XLOOKUP(Table7[[#This Row],[in-game_name]],Table8[[#Data],[#Totals],[in-game_name]],Table8[[#Data],[#Totals],[date]],,,1))</f>
        <v>0</v>
      </c>
      <c r="H7" s="145">
        <f>IFERROR(Table7[[#This Row],[lifetime_slp]]/(Table7[[#This Row],[career_duration]]/30.5),Table7[[#This Row],[lifetime_slp]]*1)</f>
        <v>601</v>
      </c>
      <c r="I7" s="153">
        <f>IFERROR(Table7[[#This Row],[lifetime_slp]]/Table7[[#This Row],[career_duration]],Table7[[#This Row],[lifetime_slp]]*1/14)</f>
        <v>42.928571428571431</v>
      </c>
    </row>
    <row r="8" spans="1:9" x14ac:dyDescent="0.25">
      <c r="A8" s="142">
        <v>7</v>
      </c>
      <c r="B8" s="1" t="s">
        <v>36</v>
      </c>
      <c r="C8" s="143">
        <f>SUMIF(Table8[in-game_name],Table7[[#This Row],[in-game_name]],Table8[slp_farmed])</f>
        <v>16475</v>
      </c>
      <c r="D8" s="143" cm="1">
        <f t="array" ref="D8">_xlfn._xlws.FILTER(Table8[slp_farmed],(Table8[in-game_name]=Table7[[#This Row],[in-game_name]])*(Table8[date]=Table7[[#This Row],[last_payout]]))</f>
        <v>2192</v>
      </c>
      <c r="E8" s="132">
        <f xml:space="preserve"> _xlfn.XLOOKUP(B8,Transactions!$B$2:$B$301,Transactions!$D$2:$D$301,"Not Found",,-1)</f>
        <v>44545</v>
      </c>
      <c r="F8" s="132">
        <f>Table7[[#This Row],[last_payout]]+Table4[[#This Row],[payout_days_interval]]</f>
        <v>44559</v>
      </c>
      <c r="G8" s="144" cm="1">
        <f t="array" ref="G8">SUM(_xlfn.XLOOKUP(Table7[[#This Row],[in-game_name]],Table8[[#Data],[#Totals],[in-game_name]],Table8[[#Data],[#Totals],[date]],,,-1),-_xlfn.XLOOKUP(Table7[[#This Row],[in-game_name]],Table8[[#Data],[#Totals],[in-game_name]],Table8[[#Data],[#Totals],[date]],,,1))</f>
        <v>106</v>
      </c>
      <c r="H8" s="145">
        <f>IFERROR(Table7[[#This Row],[lifetime_slp]]/(Table7[[#This Row],[career_duration]]/30.5),Table7[[#This Row],[lifetime_slp]]*1)</f>
        <v>4740.4481132075471</v>
      </c>
      <c r="I8" s="153">
        <f>IFERROR(Table7[[#This Row],[lifetime_slp]]/Table7[[#This Row],[career_duration]],Table7[[#This Row],[lifetime_slp]]*1/14)</f>
        <v>155.4245283018868</v>
      </c>
    </row>
    <row r="9" spans="1:9" x14ac:dyDescent="0.25">
      <c r="A9" s="142">
        <v>8</v>
      </c>
      <c r="B9" s="1" t="s">
        <v>41</v>
      </c>
      <c r="C9" s="143">
        <f>SUMIF(Table8[in-game_name],Table7[[#This Row],[in-game_name]],Table8[slp_farmed])</f>
        <v>23710</v>
      </c>
      <c r="D9" s="143" cm="1">
        <f t="array" ref="D9">_xlfn._xlws.FILTER(Table8[slp_farmed],(Table8[in-game_name]=Table7[[#This Row],[in-game_name]])*(Table8[date]=Table7[[#This Row],[last_payout]]))</f>
        <v>2150</v>
      </c>
      <c r="E9" s="132">
        <f xml:space="preserve"> _xlfn.XLOOKUP(B9,Transactions!$B$2:$B$301,Transactions!$D$2:$D$301,"Not Found",,-1)</f>
        <v>44579</v>
      </c>
      <c r="F9" s="132">
        <f>Table7[[#This Row],[last_payout]]+Table4[[#This Row],[payout_days_interval]]</f>
        <v>44593</v>
      </c>
      <c r="G9" s="144" cm="1">
        <f t="array" ref="G9">SUM(_xlfn.XLOOKUP(Table7[[#This Row],[in-game_name]],Table8[[#Data],[#Totals],[in-game_name]],Table8[[#Data],[#Totals],[date]],,,-1),-_xlfn.XLOOKUP(Table7[[#This Row],[in-game_name]],Table8[[#Data],[#Totals],[in-game_name]],Table8[[#Data],[#Totals],[date]],,,1))</f>
        <v>143</v>
      </c>
      <c r="H9" s="145">
        <f>IFERROR(Table7[[#This Row],[lifetime_slp]]/(Table7[[#This Row],[career_duration]]/30.5),Table7[[#This Row],[lifetime_slp]]*1)</f>
        <v>5057.0279720279714</v>
      </c>
      <c r="I9" s="153">
        <f>IFERROR(Table7[[#This Row],[lifetime_slp]]/Table7[[#This Row],[career_duration]],Table7[[#This Row],[lifetime_slp]]*1/14)</f>
        <v>165.80419580419581</v>
      </c>
    </row>
    <row r="10" spans="1:9" x14ac:dyDescent="0.25">
      <c r="A10" s="142">
        <v>9</v>
      </c>
      <c r="B10" s="1" t="s">
        <v>46</v>
      </c>
      <c r="C10" s="143">
        <f>SUMIF(Table8[in-game_name],Table7[[#This Row],[in-game_name]],Table8[slp_farmed])</f>
        <v>28990</v>
      </c>
      <c r="D10" s="143" cm="1">
        <f t="array" ref="D10">_xlfn._xlws.FILTER(Table8[slp_farmed],(Table8[in-game_name]=Table7[[#This Row],[in-game_name]])*(Table8[date]=Table7[[#This Row],[last_payout]]))</f>
        <v>765</v>
      </c>
      <c r="E10" s="132">
        <f xml:space="preserve"> _xlfn.XLOOKUP(B10,Transactions!$B$2:$B$301,Transactions!$D$2:$D$301,"Not Found",,-1)</f>
        <v>44578</v>
      </c>
      <c r="F10" s="132">
        <f>Table7[[#This Row],[last_payout]]+Table4[[#This Row],[payout_days_interval]]</f>
        <v>44592</v>
      </c>
      <c r="G10" s="144" cm="1">
        <f t="array" ref="G10">SUM(_xlfn.XLOOKUP(Table7[[#This Row],[in-game_name]],Table8[[#Data],[#Totals],[in-game_name]],Table8[[#Data],[#Totals],[date]],,,-1),-_xlfn.XLOOKUP(Table7[[#This Row],[in-game_name]],Table8[[#Data],[#Totals],[in-game_name]],Table8[[#Data],[#Totals],[date]],,,1))</f>
        <v>184</v>
      </c>
      <c r="H10" s="145">
        <f>IFERROR(Table7[[#This Row],[lifetime_slp]]/(Table7[[#This Row],[career_duration]]/30.5),Table7[[#This Row],[lifetime_slp]]*1)</f>
        <v>4805.4076086956529</v>
      </c>
      <c r="I10" s="153">
        <f>IFERROR(Table7[[#This Row],[lifetime_slp]]/Table7[[#This Row],[career_duration]],Table7[[#This Row],[lifetime_slp]]*1/14)</f>
        <v>157.55434782608697</v>
      </c>
    </row>
    <row r="11" spans="1:9" x14ac:dyDescent="0.25">
      <c r="A11" s="142">
        <v>10</v>
      </c>
      <c r="B11" s="1" t="s">
        <v>51</v>
      </c>
      <c r="C11" s="143">
        <f>SUMIF(Table8[in-game_name],Table7[[#This Row],[in-game_name]],Table8[slp_farmed])</f>
        <v>2713</v>
      </c>
      <c r="D11" s="143" cm="1">
        <f t="array" ref="D11">_xlfn._xlws.FILTER(Table8[slp_farmed],(Table8[in-game_name]=Table7[[#This Row],[in-game_name]])*(Table8[date]=Table7[[#This Row],[last_payout]]))</f>
        <v>1737</v>
      </c>
      <c r="E11" s="132">
        <f xml:space="preserve"> _xlfn.XLOOKUP(B11,Transactions!$B$2:$B$301,Transactions!$D$2:$D$301,"Not Found",,-1)</f>
        <v>44575</v>
      </c>
      <c r="F11" s="132">
        <f>Table7[[#This Row],[last_payout]]+Table4[[#This Row],[payout_days_interval]]</f>
        <v>44589</v>
      </c>
      <c r="G11" s="144" cm="1">
        <f t="array" ref="G11">SUM(_xlfn.XLOOKUP(Table7[[#This Row],[in-game_name]],Table8[[#Data],[#Totals],[in-game_name]],Table8[[#Data],[#Totals],[date]],,,-1),-_xlfn.XLOOKUP(Table7[[#This Row],[in-game_name]],Table8[[#Data],[#Totals],[in-game_name]],Table8[[#Data],[#Totals],[date]],,,1))</f>
        <v>11</v>
      </c>
      <c r="H11" s="145">
        <f>IFERROR(Table7[[#This Row],[lifetime_slp]]/(Table7[[#This Row],[career_duration]]/30.5),Table7[[#This Row],[lifetime_slp]]*1)</f>
        <v>7522.409090909091</v>
      </c>
      <c r="I11" s="153">
        <f>IFERROR(Table7[[#This Row],[lifetime_slp]]/Table7[[#This Row],[career_duration]],Table7[[#This Row],[lifetime_slp]]*1/14)</f>
        <v>246.63636363636363</v>
      </c>
    </row>
    <row r="12" spans="1:9" x14ac:dyDescent="0.25">
      <c r="A12" s="142">
        <v>11</v>
      </c>
      <c r="B12" s="1" t="s">
        <v>55</v>
      </c>
      <c r="C12" s="143">
        <f>SUMIF(Table8[in-game_name],Table7[[#This Row],[in-game_name]],Table8[slp_farmed])</f>
        <v>477</v>
      </c>
      <c r="D12" s="143" cm="1">
        <f t="array" ref="D12">_xlfn._xlws.FILTER(Table8[slp_farmed],(Table8[in-game_name]=Table7[[#This Row],[in-game_name]])*(Table8[date]=Table7[[#This Row],[last_payout]]))</f>
        <v>477</v>
      </c>
      <c r="E12" s="132">
        <f xml:space="preserve"> _xlfn.XLOOKUP(B12,Transactions!$B$2:$B$301,Transactions!$D$2:$D$301,"Not Found",,-1)</f>
        <v>44577</v>
      </c>
      <c r="F12" s="132">
        <f>Table7[[#This Row],[last_payout]]+Table4[[#This Row],[payout_days_interval]]</f>
        <v>44591</v>
      </c>
      <c r="G12" s="144" cm="1">
        <f t="array" ref="G12">SUM(_xlfn.XLOOKUP(Table7[[#This Row],[in-game_name]],Table8[[#Data],[#Totals],[in-game_name]],Table8[[#Data],[#Totals],[date]],,,-1),-_xlfn.XLOOKUP(Table7[[#This Row],[in-game_name]],Table8[[#Data],[#Totals],[in-game_name]],Table8[[#Data],[#Totals],[date]],,,1))</f>
        <v>0</v>
      </c>
      <c r="H12" s="145">
        <f>IFERROR(Table7[[#This Row],[lifetime_slp]]/(Table7[[#This Row],[career_duration]]/30.5),Table7[[#This Row],[lifetime_slp]]*1)</f>
        <v>477</v>
      </c>
      <c r="I12" s="153">
        <f>IFERROR(Table7[[#This Row],[lifetime_slp]]/Table7[[#This Row],[career_duration]],Table7[[#This Row],[lifetime_slp]]*1/14)</f>
        <v>34.071428571428569</v>
      </c>
    </row>
    <row r="13" spans="1:9" x14ac:dyDescent="0.25">
      <c r="A13" s="142">
        <v>12</v>
      </c>
      <c r="B13" s="1" t="s">
        <v>62</v>
      </c>
      <c r="C13" s="143">
        <f>SUMIF(Table8[in-game_name],Table7[[#This Row],[in-game_name]],Table8[slp_farmed])</f>
        <v>2713</v>
      </c>
      <c r="D13" s="143" cm="1">
        <f t="array" ref="D13">_xlfn._xlws.FILTER(Table8[slp_farmed],(Table8[in-game_name]=Table7[[#This Row],[in-game_name]])*(Table8[date]=Table7[[#This Row],[last_payout]]))</f>
        <v>1969</v>
      </c>
      <c r="E13" s="132">
        <f xml:space="preserve"> _xlfn.XLOOKUP(B13,Transactions!$B$2:$B$301,Transactions!$D$2:$D$301,"Not Found",,-1)</f>
        <v>44577</v>
      </c>
      <c r="F13" s="132">
        <f>Table7[[#This Row],[last_payout]]+Table4[[#This Row],[payout_days_interval]]</f>
        <v>44591</v>
      </c>
      <c r="G13" s="144" cm="1">
        <f t="array" ref="G13">SUM(_xlfn.XLOOKUP(Table7[[#This Row],[in-game_name]],Table8[[#Data],[#Totals],[in-game_name]],Table8[[#Data],[#Totals],[date]],,,-1),-_xlfn.XLOOKUP(Table7[[#This Row],[in-game_name]],Table8[[#Data],[#Totals],[in-game_name]],Table8[[#Data],[#Totals],[date]],,,1))</f>
        <v>13</v>
      </c>
      <c r="H13" s="145">
        <f>IFERROR(Table7[[#This Row],[lifetime_slp]]/(Table7[[#This Row],[career_duration]]/30.5),Table7[[#This Row],[lifetime_slp]]*1)</f>
        <v>6365.1153846153848</v>
      </c>
      <c r="I13" s="153">
        <f>IFERROR(Table7[[#This Row],[lifetime_slp]]/Table7[[#This Row],[career_duration]],Table7[[#This Row],[lifetime_slp]]*1/14)</f>
        <v>208.69230769230768</v>
      </c>
    </row>
    <row r="14" spans="1:9" x14ac:dyDescent="0.25">
      <c r="A14" s="142">
        <v>13</v>
      </c>
      <c r="B14" s="1" t="s">
        <v>70</v>
      </c>
      <c r="C14" s="143">
        <f>SUMIF(Table8[in-game_name],Table7[[#This Row],[in-game_name]],Table8[slp_farmed])</f>
        <v>5119</v>
      </c>
      <c r="D14" s="143" cm="1">
        <f t="array" ref="D14">_xlfn._xlws.FILTER(Table8[slp_farmed],(Table8[in-game_name]=Table7[[#This Row],[in-game_name]])*(Table8[date]=Table7[[#This Row],[last_payout]]))</f>
        <v>2042</v>
      </c>
      <c r="E14" s="132">
        <f xml:space="preserve"> _xlfn.XLOOKUP(B14,Transactions!$B$2:$B$301,Transactions!$D$2:$D$301,"Not Found",,-1)</f>
        <v>44577</v>
      </c>
      <c r="F14" s="132">
        <f>Table7[[#This Row],[last_payout]]+Table4[[#This Row],[payout_days_interval]]</f>
        <v>44591</v>
      </c>
      <c r="G14" s="144" cm="1">
        <f t="array" ref="G14">SUM(_xlfn.XLOOKUP(Table7[[#This Row],[in-game_name]],Table8[[#Data],[#Totals],[in-game_name]],Table8[[#Data],[#Totals],[date]],,,-1),-_xlfn.XLOOKUP(Table7[[#This Row],[in-game_name]],Table8[[#Data],[#Totals],[in-game_name]],Table8[[#Data],[#Totals],[date]],,,1))</f>
        <v>66</v>
      </c>
      <c r="H14" s="145">
        <f>IFERROR(Table7[[#This Row],[lifetime_slp]]/(Table7[[#This Row],[career_duration]]/30.5),Table7[[#This Row],[lifetime_slp]]*1)</f>
        <v>2365.5984848484845</v>
      </c>
      <c r="I14" s="153">
        <f>IFERROR(Table7[[#This Row],[lifetime_slp]]/Table7[[#This Row],[career_duration]],Table7[[#This Row],[lifetime_slp]]*1/14)</f>
        <v>77.560606060606062</v>
      </c>
    </row>
    <row r="15" spans="1:9" x14ac:dyDescent="0.25">
      <c r="A15" s="142">
        <v>14</v>
      </c>
      <c r="B15" s="1" t="s">
        <v>74</v>
      </c>
      <c r="C15" s="143">
        <f>SUMIF(Table8[in-game_name],Table7[[#This Row],[in-game_name]],Table8[slp_farmed])</f>
        <v>24749</v>
      </c>
      <c r="D15" s="143" cm="1">
        <f t="array" ref="D15">_xlfn._xlws.FILTER(Table8[slp_farmed],(Table8[in-game_name]=Table7[[#This Row],[in-game_name]])*(Table8[date]=Table7[[#This Row],[last_payout]]))</f>
        <v>4184</v>
      </c>
      <c r="E15" s="132">
        <f xml:space="preserve"> _xlfn.XLOOKUP(B15,Transactions!$B$2:$B$301,Transactions!$D$2:$D$301,"Not Found",,-1)</f>
        <v>44565</v>
      </c>
      <c r="F15" s="132">
        <f>Table7[[#This Row],[last_payout]]+Table4[[#This Row],[payout_days_interval]]</f>
        <v>44595</v>
      </c>
      <c r="G15" s="144" cm="1">
        <f t="array" ref="G15">SUM(_xlfn.XLOOKUP(Table7[[#This Row],[in-game_name]],Table8[[#Data],[#Totals],[in-game_name]],Table8[[#Data],[#Totals],[date]],,,-1),-_xlfn.XLOOKUP(Table7[[#This Row],[in-game_name]],Table8[[#Data],[#Totals],[in-game_name]],Table8[[#Data],[#Totals],[date]],,,1))</f>
        <v>163</v>
      </c>
      <c r="H15" s="145">
        <f>IFERROR(Table7[[#This Row],[lifetime_slp]]/(Table7[[#This Row],[career_duration]]/30.5),Table7[[#This Row],[lifetime_slp]]*1)</f>
        <v>4630.9478527607362</v>
      </c>
      <c r="I15" s="153">
        <f>IFERROR(Table7[[#This Row],[lifetime_slp]]/Table7[[#This Row],[career_duration]],Table7[[#This Row],[lifetime_slp]]*1/14)</f>
        <v>151.83435582822085</v>
      </c>
    </row>
    <row r="16" spans="1:9" x14ac:dyDescent="0.25">
      <c r="A16" s="142">
        <v>15</v>
      </c>
      <c r="B16" s="1" t="s">
        <v>78</v>
      </c>
      <c r="C16" s="143">
        <f>SUMIF(Table8[in-game_name],Table7[[#This Row],[in-game_name]],Table8[slp_farmed])</f>
        <v>2141</v>
      </c>
      <c r="D16" s="143" cm="1">
        <f t="array" ref="D16">_xlfn._xlws.FILTER(Table8[slp_farmed],(Table8[in-game_name]=Table7[[#This Row],[in-game_name]])*(Table8[date]=Table7[[#This Row],[last_payout]]))</f>
        <v>1172</v>
      </c>
      <c r="E16" s="132">
        <f xml:space="preserve"> _xlfn.XLOOKUP(B16,Transactions!$B$2:$B$301,Transactions!$D$2:$D$301,"Not Found",,-1)</f>
        <v>44576</v>
      </c>
      <c r="F16" s="132">
        <f>Table7[[#This Row],[last_payout]]+Table4[[#This Row],[payout_days_interval]]</f>
        <v>44590</v>
      </c>
      <c r="G16" s="144" cm="1">
        <f t="array" ref="G16">SUM(_xlfn.XLOOKUP(Table7[[#This Row],[in-game_name]],Table8[[#Data],[#Totals],[in-game_name]],Table8[[#Data],[#Totals],[date]],,,-1),-_xlfn.XLOOKUP(Table7[[#This Row],[in-game_name]],Table8[[#Data],[#Totals],[in-game_name]],Table8[[#Data],[#Totals],[date]],,,1))</f>
        <v>12</v>
      </c>
      <c r="H16" s="145">
        <f>IFERROR(Table7[[#This Row],[lifetime_slp]]/(Table7[[#This Row],[career_duration]]/30.5),Table7[[#This Row],[lifetime_slp]]*1)</f>
        <v>5441.708333333333</v>
      </c>
      <c r="I16" s="153">
        <f>IFERROR(Table7[[#This Row],[lifetime_slp]]/Table7[[#This Row],[career_duration]],Table7[[#This Row],[lifetime_slp]]*1/14)</f>
        <v>178.41666666666666</v>
      </c>
    </row>
    <row r="17" spans="1:9" x14ac:dyDescent="0.25">
      <c r="A17" s="142">
        <v>16</v>
      </c>
      <c r="B17" s="1" t="s">
        <v>90</v>
      </c>
      <c r="C17" s="143">
        <f>SUMIF(Table8[in-game_name],Table7[[#This Row],[in-game_name]],Table8[slp_farmed])</f>
        <v>32693</v>
      </c>
      <c r="D17" s="143" cm="1">
        <f t="array" ref="D17">_xlfn._xlws.FILTER(Table8[slp_farmed],(Table8[in-game_name]=Table7[[#This Row],[in-game_name]])*(Table8[date]=Table7[[#This Row],[last_payout]]))</f>
        <v>2755</v>
      </c>
      <c r="E17" s="132">
        <f xml:space="preserve"> _xlfn.XLOOKUP(B17,Transactions!$B$2:$B$301,Transactions!$D$2:$D$301,"Not Found",,-1)</f>
        <v>44564</v>
      </c>
      <c r="F17" s="132">
        <f>Table7[[#This Row],[last_payout]]+Table4[[#This Row],[payout_days_interval]]</f>
        <v>44594</v>
      </c>
      <c r="G17" s="144" cm="1">
        <f t="array" ref="G17">SUM(_xlfn.XLOOKUP(Table7[[#This Row],[in-game_name]],Table8[[#Data],[#Totals],[in-game_name]],Table8[[#Data],[#Totals],[date]],,,-1),-_xlfn.XLOOKUP(Table7[[#This Row],[in-game_name]],Table8[[#Data],[#Totals],[in-game_name]],Table8[[#Data],[#Totals],[date]],,,1))</f>
        <v>162</v>
      </c>
      <c r="H17" s="145">
        <f>IFERROR(Table7[[#This Row],[lifetime_slp]]/(Table7[[#This Row],[career_duration]]/30.5),Table7[[#This Row],[lifetime_slp]]*1)</f>
        <v>6155.1635802469136</v>
      </c>
      <c r="I17" s="153">
        <f>IFERROR(Table7[[#This Row],[lifetime_slp]]/Table7[[#This Row],[career_duration]],Table7[[#This Row],[lifetime_slp]]*1/14)</f>
        <v>201.80864197530863</v>
      </c>
    </row>
    <row r="18" spans="1:9" x14ac:dyDescent="0.25">
      <c r="A18" s="142">
        <v>17</v>
      </c>
      <c r="B18" s="1" t="s">
        <v>92</v>
      </c>
      <c r="C18" s="143">
        <f>SUMIF(Table8[in-game_name],Table7[[#This Row],[in-game_name]],Table8[slp_farmed])</f>
        <v>19259</v>
      </c>
      <c r="D18" s="143" cm="1">
        <f t="array" ref="D18">_xlfn._xlws.FILTER(Table8[slp_farmed],(Table8[in-game_name]=Table7[[#This Row],[in-game_name]])*(Table8[date]=Table7[[#This Row],[last_payout]]))</f>
        <v>2001</v>
      </c>
      <c r="E18" s="132">
        <f xml:space="preserve"> _xlfn.XLOOKUP(B18,Transactions!$B$2:$B$301,Transactions!$D$2:$D$301,"Not Found",,-1)</f>
        <v>44535</v>
      </c>
      <c r="F18" s="132">
        <f>Table7[[#This Row],[last_payout]]+Table4[[#This Row],[payout_days_interval]]</f>
        <v>44549</v>
      </c>
      <c r="G18" s="144" cm="1">
        <f t="array" ref="G18">SUM(_xlfn.XLOOKUP(Table7[[#This Row],[in-game_name]],Table8[[#Data],[#Totals],[in-game_name]],Table8[[#Data],[#Totals],[date]],,,-1),-_xlfn.XLOOKUP(Table7[[#This Row],[in-game_name]],Table8[[#Data],[#Totals],[in-game_name]],Table8[[#Data],[#Totals],[date]],,,1))</f>
        <v>112</v>
      </c>
      <c r="H18" s="145">
        <f>IFERROR(Table7[[#This Row],[lifetime_slp]]/(Table7[[#This Row],[career_duration]]/30.5),Table7[[#This Row],[lifetime_slp]]*1)</f>
        <v>5244.6383928571431</v>
      </c>
      <c r="I18" s="153">
        <f>IFERROR(Table7[[#This Row],[lifetime_slp]]/Table7[[#This Row],[career_duration]],Table7[[#This Row],[lifetime_slp]]*1/14)</f>
        <v>171.95535714285714</v>
      </c>
    </row>
    <row r="19" spans="1:9" x14ac:dyDescent="0.25">
      <c r="A19" s="142">
        <v>18</v>
      </c>
      <c r="B19" s="1" t="s">
        <v>6</v>
      </c>
      <c r="C19" s="143">
        <f>SUMIF(Table8[in-game_name],Table7[[#This Row],[in-game_name]],Table8[slp_farmed])</f>
        <v>4487</v>
      </c>
      <c r="D19" s="143" cm="1">
        <f t="array" ref="D19">_xlfn._xlws.FILTER(Table8[slp_farmed],(Table8[in-game_name]=Table7[[#This Row],[in-game_name]])*(Table8[date]=Table7[[#This Row],[last_payout]]))</f>
        <v>1219</v>
      </c>
      <c r="E19" s="132">
        <f xml:space="preserve"> _xlfn.XLOOKUP(B19,Transactions!$B$2:$B$301,Transactions!$D$2:$D$301,"Not Found",,-1)</f>
        <v>44437</v>
      </c>
      <c r="F19" s="132">
        <f>Table7[[#This Row],[last_payout]]+Table4[[#This Row],[payout_days_interval]]</f>
        <v>44451</v>
      </c>
      <c r="G19" s="144" cm="1">
        <f t="array" ref="G19">SUM(_xlfn.XLOOKUP(Table7[[#This Row],[in-game_name]],Table8[[#Data],[#Totals],[in-game_name]],Table8[[#Data],[#Totals],[date]],,,-1),-_xlfn.XLOOKUP(Table7[[#This Row],[in-game_name]],Table8[[#Data],[#Totals],[in-game_name]],Table8[[#Data],[#Totals],[date]],,,1))</f>
        <v>14</v>
      </c>
      <c r="H19" s="145">
        <f>IFERROR(Table7[[#This Row],[lifetime_slp]]/(Table7[[#This Row],[career_duration]]/30.5),Table7[[#This Row],[lifetime_slp]]*1)</f>
        <v>9775.25</v>
      </c>
      <c r="I19" s="153">
        <f>IFERROR(Table7[[#This Row],[lifetime_slp]]/Table7[[#This Row],[career_duration]],Table7[[#This Row],[lifetime_slp]]*1/14)</f>
        <v>320.5</v>
      </c>
    </row>
    <row r="20" spans="1:9" x14ac:dyDescent="0.25">
      <c r="A20" s="142">
        <v>19</v>
      </c>
      <c r="B20" s="1" t="s">
        <v>12</v>
      </c>
      <c r="C20" s="143">
        <f>SUMIF(Table8[in-game_name],Table7[[#This Row],[in-game_name]],Table8[slp_farmed])</f>
        <v>5492</v>
      </c>
      <c r="D20" s="143" cm="1">
        <f t="array" ref="D20">_xlfn._xlws.FILTER(Table8[slp_farmed],(Table8[in-game_name]=Table7[[#This Row],[in-game_name]])*(Table8[date]=Table7[[#This Row],[last_payout]]))</f>
        <v>1278</v>
      </c>
      <c r="E20" s="132">
        <f xml:space="preserve"> _xlfn.XLOOKUP(B20,Transactions!$B$2:$B$301,Transactions!$D$2:$D$301,"Not Found",,-1)</f>
        <v>44437</v>
      </c>
      <c r="F20" s="132">
        <f>Table7[[#This Row],[last_payout]]+Table4[[#This Row],[payout_days_interval]]</f>
        <v>44451</v>
      </c>
      <c r="G20" s="144" cm="1">
        <f t="array" ref="G20">SUM(_xlfn.XLOOKUP(Table7[[#This Row],[in-game_name]],Table8[[#Data],[#Totals],[in-game_name]],Table8[[#Data],[#Totals],[date]],,,-1),-_xlfn.XLOOKUP(Table7[[#This Row],[in-game_name]],Table8[[#Data],[#Totals],[in-game_name]],Table8[[#Data],[#Totals],[date]],,,1))</f>
        <v>29</v>
      </c>
      <c r="H20" s="145">
        <f>IFERROR(Table7[[#This Row],[lifetime_slp]]/(Table7[[#This Row],[career_duration]]/30.5),Table7[[#This Row],[lifetime_slp]]*1)</f>
        <v>5776.0689655172418</v>
      </c>
      <c r="I20" s="153">
        <f>IFERROR(Table7[[#This Row],[lifetime_slp]]/Table7[[#This Row],[career_duration]],Table7[[#This Row],[lifetime_slp]]*1/14)</f>
        <v>189.37931034482759</v>
      </c>
    </row>
    <row r="21" spans="1:9" x14ac:dyDescent="0.25">
      <c r="A21" s="142">
        <v>20</v>
      </c>
      <c r="B21" s="1" t="s">
        <v>18</v>
      </c>
      <c r="C21" s="143">
        <f>SUMIF(Table8[in-game_name],Table7[[#This Row],[in-game_name]],Table8[slp_farmed])</f>
        <v>6040</v>
      </c>
      <c r="D21" s="143" cm="1">
        <f t="array" ref="D21">_xlfn._xlws.FILTER(Table8[slp_farmed],(Table8[in-game_name]=Table7[[#This Row],[in-game_name]])*(Table8[date]=Table7[[#This Row],[last_payout]]))</f>
        <v>2219</v>
      </c>
      <c r="E21" s="132">
        <f xml:space="preserve"> _xlfn.XLOOKUP(B21,Transactions!$B$2:$B$301,Transactions!$D$2:$D$301,"Not Found",,-1)</f>
        <v>44437</v>
      </c>
      <c r="F21" s="132">
        <f>Table7[[#This Row],[last_payout]]+Table4[[#This Row],[payout_days_interval]]</f>
        <v>44467</v>
      </c>
      <c r="G21" s="144" cm="1">
        <f t="array" ref="G21">SUM(_xlfn.XLOOKUP(Table7[[#This Row],[in-game_name]],Table8[[#Data],[#Totals],[in-game_name]],Table8[[#Data],[#Totals],[date]],,,-1),-_xlfn.XLOOKUP(Table7[[#This Row],[in-game_name]],Table8[[#Data],[#Totals],[in-game_name]],Table8[[#Data],[#Totals],[date]],,,1))</f>
        <v>14</v>
      </c>
      <c r="H21" s="145">
        <f>IFERROR(Table7[[#This Row],[lifetime_slp]]/(Table7[[#This Row],[career_duration]]/30.5),Table7[[#This Row],[lifetime_slp]]*1)</f>
        <v>13158.571428571428</v>
      </c>
      <c r="I21" s="153">
        <f>IFERROR(Table7[[#This Row],[lifetime_slp]]/Table7[[#This Row],[career_duration]],Table7[[#This Row],[lifetime_slp]]*1/14)</f>
        <v>431.42857142857144</v>
      </c>
    </row>
    <row r="22" spans="1:9" x14ac:dyDescent="0.25">
      <c r="A22" s="142">
        <v>21</v>
      </c>
      <c r="B22" s="1" t="s">
        <v>24</v>
      </c>
      <c r="C22" s="143">
        <f>SUMIF(Table8[in-game_name],Table7[[#This Row],[in-game_name]],Table8[slp_farmed])</f>
        <v>835</v>
      </c>
      <c r="D22" s="143" cm="1">
        <f t="array" ref="D22">_xlfn._xlws.FILTER(Table8[slp_farmed],(Table8[in-game_name]=Table7[[#This Row],[in-game_name]])*(Table8[date]=Table7[[#This Row],[last_payout]]))</f>
        <v>835</v>
      </c>
      <c r="E22" s="132">
        <f xml:space="preserve"> _xlfn.XLOOKUP(B22,Transactions!$B$2:$B$301,Transactions!$D$2:$D$301,"Not Found",,-1)</f>
        <v>44535</v>
      </c>
      <c r="F22" s="132">
        <f>Table7[[#This Row],[last_payout]]+Table4[[#This Row],[payout_days_interval]]</f>
        <v>44549</v>
      </c>
      <c r="G22" s="144" cm="1">
        <f t="array" ref="G22">SUM(_xlfn.XLOOKUP(Table7[[#This Row],[in-game_name]],Table8[[#Data],[#Totals],[in-game_name]],Table8[[#Data],[#Totals],[date]],,,-1),-_xlfn.XLOOKUP(Table7[[#This Row],[in-game_name]],Table8[[#Data],[#Totals],[in-game_name]],Table8[[#Data],[#Totals],[date]],,,1))</f>
        <v>0</v>
      </c>
      <c r="H22" s="145">
        <f>IFERROR(Table7[[#This Row],[lifetime_slp]]/(Table7[[#This Row],[career_duration]]/30.5),Table7[[#This Row],[lifetime_slp]]*1)</f>
        <v>835</v>
      </c>
      <c r="I22" s="153">
        <f>IFERROR(Table7[[#This Row],[lifetime_slp]]/Table7[[#This Row],[career_duration]],Table7[[#This Row],[lifetime_slp]]*1/14)</f>
        <v>59.642857142857146</v>
      </c>
    </row>
    <row r="23" spans="1:9" x14ac:dyDescent="0.25">
      <c r="A23" s="142">
        <v>22</v>
      </c>
      <c r="B23" s="1" t="s">
        <v>28</v>
      </c>
      <c r="C23" s="143">
        <f>SUMIF(Table8[in-game_name],Table7[[#This Row],[in-game_name]],Table8[slp_farmed])</f>
        <v>16469</v>
      </c>
      <c r="D23" s="143" cm="1">
        <f t="array" ref="D23">_xlfn._xlws.FILTER(Table8[slp_farmed],(Table8[in-game_name]=Table7[[#This Row],[in-game_name]])*(Table8[date]=Table7[[#This Row],[last_payout]]))</f>
        <v>1893</v>
      </c>
      <c r="E23" s="132">
        <f xml:space="preserve"> _xlfn.XLOOKUP(B23,Transactions!$B$2:$B$301,Transactions!$D$2:$D$301,"Not Found",,-1)</f>
        <v>44576</v>
      </c>
      <c r="F23" s="132">
        <f>Table7[[#This Row],[last_payout]]+Table4[[#This Row],[payout_days_interval]]</f>
        <v>44590</v>
      </c>
      <c r="G23" s="144" cm="1">
        <f t="array" ref="G23">SUM(_xlfn.XLOOKUP(Table7[[#This Row],[in-game_name]],Table8[[#Data],[#Totals],[in-game_name]],Table8[[#Data],[#Totals],[date]],,,-1),-_xlfn.XLOOKUP(Table7[[#This Row],[in-game_name]],Table8[[#Data],[#Totals],[in-game_name]],Table8[[#Data],[#Totals],[date]],,,1))</f>
        <v>97</v>
      </c>
      <c r="H23" s="145">
        <f>IFERROR(Table7[[#This Row],[lifetime_slp]]/(Table7[[#This Row],[career_duration]]/30.5),Table7[[#This Row],[lifetime_slp]]*1)</f>
        <v>5178.3969072164946</v>
      </c>
      <c r="I23" s="153">
        <f>IFERROR(Table7[[#This Row],[lifetime_slp]]/Table7[[#This Row],[career_duration]],Table7[[#This Row],[lifetime_slp]]*1/14)</f>
        <v>169.78350515463919</v>
      </c>
    </row>
    <row r="24" spans="1:9" x14ac:dyDescent="0.25">
      <c r="A24" s="142">
        <v>23</v>
      </c>
      <c r="B24" s="1" t="s">
        <v>32</v>
      </c>
      <c r="C24" s="143">
        <f>SUMIF(Table8[in-game_name],Table7[[#This Row],[in-game_name]],Table8[slp_farmed])</f>
        <v>141</v>
      </c>
      <c r="D24" s="143" cm="1">
        <f t="array" ref="D24">_xlfn._xlws.FILTER(Table8[slp_farmed],(Table8[in-game_name]=Table7[[#This Row],[in-game_name]])*(Table8[date]=Table7[[#This Row],[last_payout]]))</f>
        <v>141</v>
      </c>
      <c r="E24" s="132">
        <f xml:space="preserve"> _xlfn.XLOOKUP(B24,Transactions!$B$2:$B$301,Transactions!$D$2:$D$301,"Not Found",,-1)</f>
        <v>44578</v>
      </c>
      <c r="F24" s="132">
        <f>Table7[[#This Row],[last_payout]]+Table4[[#This Row],[payout_days_interval]]</f>
        <v>44592</v>
      </c>
      <c r="G24" s="144" cm="1">
        <f t="array" ref="G24">SUM(_xlfn.XLOOKUP(Table7[[#This Row],[in-game_name]],Table8[[#Data],[#Totals],[in-game_name]],Table8[[#Data],[#Totals],[date]],,,-1),-_xlfn.XLOOKUP(Table7[[#This Row],[in-game_name]],Table8[[#Data],[#Totals],[in-game_name]],Table8[[#Data],[#Totals],[date]],,,1))</f>
        <v>0</v>
      </c>
      <c r="H24" s="145">
        <f>IFERROR(Table7[[#This Row],[lifetime_slp]]/(Table7[[#This Row],[career_duration]]/30.5),Table7[[#This Row],[lifetime_slp]]*1)</f>
        <v>141</v>
      </c>
      <c r="I24" s="153">
        <f>IFERROR(Table7[[#This Row],[lifetime_slp]]/Table7[[#This Row],[career_duration]],Table7[[#This Row],[lifetime_slp]]*1/14)</f>
        <v>10.071428571428571</v>
      </c>
    </row>
    <row r="25" spans="1:9" x14ac:dyDescent="0.25">
      <c r="A25" s="142">
        <v>24</v>
      </c>
      <c r="B25" s="1" t="s">
        <v>37</v>
      </c>
      <c r="C25" s="143">
        <f>SUMIF(Table8[in-game_name],Table7[[#This Row],[in-game_name]],Table8[slp_farmed])</f>
        <v>11925</v>
      </c>
      <c r="D25" s="143" cm="1">
        <f t="array" ref="D25">_xlfn._xlws.FILTER(Table8[slp_farmed],(Table8[in-game_name]=Table7[[#This Row],[in-game_name]])*(Table8[date]=Table7[[#This Row],[last_payout]]))</f>
        <v>1505</v>
      </c>
      <c r="E25" s="132">
        <f xml:space="preserve"> _xlfn.XLOOKUP(B25,Transactions!$B$2:$B$301,Transactions!$D$2:$D$301,"Not Found",,-1)</f>
        <v>44535</v>
      </c>
      <c r="F25" s="132">
        <f>Table7[[#This Row],[last_payout]]+Table4[[#This Row],[payout_days_interval]]</f>
        <v>44565</v>
      </c>
      <c r="G25" s="144" cm="1">
        <f t="array" ref="G25">SUM(_xlfn.XLOOKUP(Table7[[#This Row],[in-game_name]],Table8[[#Data],[#Totals],[in-game_name]],Table8[[#Data],[#Totals],[date]],,,-1),-_xlfn.XLOOKUP(Table7[[#This Row],[in-game_name]],Table8[[#Data],[#Totals],[in-game_name]],Table8[[#Data],[#Totals],[date]],,,1))</f>
        <v>113</v>
      </c>
      <c r="H25" s="145">
        <f>IFERROR(Table7[[#This Row],[lifetime_slp]]/(Table7[[#This Row],[career_duration]]/30.5),Table7[[#This Row],[lifetime_slp]]*1)</f>
        <v>3218.6946902654868</v>
      </c>
      <c r="I25" s="153">
        <f>IFERROR(Table7[[#This Row],[lifetime_slp]]/Table7[[#This Row],[career_duration]],Table7[[#This Row],[lifetime_slp]]*1/14)</f>
        <v>105.53097345132744</v>
      </c>
    </row>
    <row r="26" spans="1:9" x14ac:dyDescent="0.25">
      <c r="A26" s="142">
        <v>25</v>
      </c>
      <c r="B26" s="1" t="s">
        <v>42</v>
      </c>
      <c r="C26" s="143">
        <f>SUMIF(Table8[in-game_name],Table7[[#This Row],[in-game_name]],Table8[slp_farmed])</f>
        <v>2923</v>
      </c>
      <c r="D26" s="143" cm="1">
        <f t="array" ref="D26">_xlfn._xlws.FILTER(Table8[slp_farmed],(Table8[in-game_name]=Table7[[#This Row],[in-game_name]])*(Table8[date]=Table7[[#This Row],[last_payout]]))</f>
        <v>1489</v>
      </c>
      <c r="E26" s="132">
        <f xml:space="preserve"> _xlfn.XLOOKUP(B26,Transactions!$B$2:$B$301,Transactions!$D$2:$D$301,"Not Found",,-1)</f>
        <v>44578</v>
      </c>
      <c r="F26" s="132">
        <f>Table7[[#This Row],[last_payout]]+Table4[[#This Row],[payout_days_interval]]</f>
        <v>44608</v>
      </c>
      <c r="G26" s="144" cm="1">
        <f t="array" ref="G26">SUM(_xlfn.XLOOKUP(Table7[[#This Row],[in-game_name]],Table8[[#Data],[#Totals],[in-game_name]],Table8[[#Data],[#Totals],[date]],,,-1),-_xlfn.XLOOKUP(Table7[[#This Row],[in-game_name]],Table8[[#Data],[#Totals],[in-game_name]],Table8[[#Data],[#Totals],[date]],,,1))</f>
        <v>16</v>
      </c>
      <c r="H26" s="145">
        <f>IFERROR(Table7[[#This Row],[lifetime_slp]]/(Table7[[#This Row],[career_duration]]/30.5),Table7[[#This Row],[lifetime_slp]]*1)</f>
        <v>5571.96875</v>
      </c>
      <c r="I26" s="153">
        <f>IFERROR(Table7[[#This Row],[lifetime_slp]]/Table7[[#This Row],[career_duration]],Table7[[#This Row],[lifetime_slp]]*1/14)</f>
        <v>182.6875</v>
      </c>
    </row>
    <row r="27" spans="1:9" x14ac:dyDescent="0.25">
      <c r="A27" s="142">
        <v>26</v>
      </c>
      <c r="B27" s="1" t="s">
        <v>47</v>
      </c>
      <c r="C27" s="143">
        <f>SUMIF(Table8[in-game_name],Table7[[#This Row],[in-game_name]],Table8[slp_farmed])</f>
        <v>25923</v>
      </c>
      <c r="D27" s="143" cm="1">
        <f t="array" ref="D27">_xlfn._xlws.FILTER(Table8[slp_farmed],(Table8[in-game_name]=Table7[[#This Row],[in-game_name]])*(Table8[date]=Table7[[#This Row],[last_payout]]))</f>
        <v>1526</v>
      </c>
      <c r="E27" s="132">
        <f xml:space="preserve"> _xlfn.XLOOKUP(B27,Transactions!$B$2:$B$301,Transactions!$D$2:$D$301,"Not Found",,-1)</f>
        <v>44550</v>
      </c>
      <c r="F27" s="132">
        <f>Table7[[#This Row],[last_payout]]+Table4[[#This Row],[payout_days_interval]]</f>
        <v>44564</v>
      </c>
      <c r="G27" s="144" cm="1">
        <f t="array" ref="G27">SUM(_xlfn.XLOOKUP(Table7[[#This Row],[in-game_name]],Table8[[#Data],[#Totals],[in-game_name]],Table8[[#Data],[#Totals],[date]],,,-1),-_xlfn.XLOOKUP(Table7[[#This Row],[in-game_name]],Table8[[#Data],[#Totals],[in-game_name]],Table8[[#Data],[#Totals],[date]],,,1))</f>
        <v>127</v>
      </c>
      <c r="H27" s="145">
        <f>IFERROR(Table7[[#This Row],[lifetime_slp]]/(Table7[[#This Row],[career_duration]]/30.5),Table7[[#This Row],[lifetime_slp]]*1)</f>
        <v>6225.6023622047251</v>
      </c>
      <c r="I27" s="153">
        <f>IFERROR(Table7[[#This Row],[lifetime_slp]]/Table7[[#This Row],[career_duration]],Table7[[#This Row],[lifetime_slp]]*1/14)</f>
        <v>204.11811023622047</v>
      </c>
    </row>
    <row r="28" spans="1:9" x14ac:dyDescent="0.25">
      <c r="A28" s="142">
        <v>27</v>
      </c>
      <c r="B28" s="1" t="s">
        <v>52</v>
      </c>
      <c r="C28" s="143">
        <f>SUMIF(Table8[in-game_name],Table7[[#This Row],[in-game_name]],Table8[slp_farmed])</f>
        <v>2935</v>
      </c>
      <c r="D28" s="143" cm="1">
        <f t="array" ref="D28">_xlfn._xlws.FILTER(Table8[slp_farmed],(Table8[in-game_name]=Table7[[#This Row],[in-game_name]])*(Table8[date]=Table7[[#This Row],[last_payout]]))</f>
        <v>2696</v>
      </c>
      <c r="E28" s="132">
        <f xml:space="preserve"> _xlfn.XLOOKUP(B28,Transactions!$B$2:$B$301,Transactions!$D$2:$D$301,"Not Found",,-1)</f>
        <v>44582</v>
      </c>
      <c r="F28" s="132">
        <f>Table7[[#This Row],[last_payout]]+Table4[[#This Row],[payout_days_interval]]</f>
        <v>44596</v>
      </c>
      <c r="G28" s="144" cm="1">
        <f t="array" ref="G28">SUM(_xlfn.XLOOKUP(Table7[[#This Row],[in-game_name]],Table8[[#Data],[#Totals],[in-game_name]],Table8[[#Data],[#Totals],[date]],,,-1),-_xlfn.XLOOKUP(Table7[[#This Row],[in-game_name]],Table8[[#Data],[#Totals],[in-game_name]],Table8[[#Data],[#Totals],[date]],,,1))</f>
        <v>29</v>
      </c>
      <c r="H28" s="145">
        <f>IFERROR(Table7[[#This Row],[lifetime_slp]]/(Table7[[#This Row],[career_duration]]/30.5),Table7[[#This Row],[lifetime_slp]]*1)</f>
        <v>3086.8103448275865</v>
      </c>
      <c r="I28" s="153">
        <f>IFERROR(Table7[[#This Row],[lifetime_slp]]/Table7[[#This Row],[career_duration]],Table7[[#This Row],[lifetime_slp]]*1/14)</f>
        <v>101.20689655172414</v>
      </c>
    </row>
    <row r="29" spans="1:9" x14ac:dyDescent="0.25">
      <c r="A29" s="142">
        <v>28</v>
      </c>
      <c r="B29" s="1" t="s">
        <v>56</v>
      </c>
      <c r="C29" s="143">
        <f>SUMIF(Table8[in-game_name],Table7[[#This Row],[in-game_name]],Table8[slp_farmed])</f>
        <v>21704</v>
      </c>
      <c r="D29" s="143" cm="1">
        <f t="array" ref="D29">_xlfn._xlws.FILTER(Table8[slp_farmed],(Table8[in-game_name]=Table7[[#This Row],[in-game_name]])*(Table8[date]=Table7[[#This Row],[last_payout]]))</f>
        <v>2099</v>
      </c>
      <c r="E29" s="132">
        <f xml:space="preserve"> _xlfn.XLOOKUP(B29,Transactions!$B$2:$B$301,Transactions!$D$2:$D$301,"Not Found",,-1)</f>
        <v>44593</v>
      </c>
      <c r="F29" s="132">
        <f>Table7[[#This Row],[last_payout]]+Table4[[#This Row],[payout_days_interval]]</f>
        <v>44607</v>
      </c>
      <c r="G29" s="144" cm="1">
        <f t="array" ref="G29">SUM(_xlfn.XLOOKUP(Table7[[#This Row],[in-game_name]],Table8[[#Data],[#Totals],[in-game_name]],Table8[[#Data],[#Totals],[date]],,,-1),-_xlfn.XLOOKUP(Table7[[#This Row],[in-game_name]],Table8[[#Data],[#Totals],[in-game_name]],Table8[[#Data],[#Totals],[date]],,,1))</f>
        <v>118</v>
      </c>
      <c r="H29" s="145">
        <f>IFERROR(Table7[[#This Row],[lifetime_slp]]/(Table7[[#This Row],[career_duration]]/30.5),Table7[[#This Row],[lifetime_slp]]*1)</f>
        <v>5609.9322033898306</v>
      </c>
      <c r="I29" s="153">
        <f>IFERROR(Table7[[#This Row],[lifetime_slp]]/Table7[[#This Row],[career_duration]],Table7[[#This Row],[lifetime_slp]]*1/14)</f>
        <v>183.93220338983051</v>
      </c>
    </row>
    <row r="30" spans="1:9" x14ac:dyDescent="0.25">
      <c r="A30" s="142">
        <v>29</v>
      </c>
      <c r="B30" s="1" t="s">
        <v>63</v>
      </c>
      <c r="C30" s="143">
        <f>SUMIF(Table8[in-game_name],Table7[[#This Row],[in-game_name]],Table8[slp_farmed])</f>
        <v>3033</v>
      </c>
      <c r="D30" s="143" cm="1">
        <f t="array" ref="D30">_xlfn._xlws.FILTER(Table8[slp_farmed],(Table8[in-game_name]=Table7[[#This Row],[in-game_name]])*(Table8[date]=Table7[[#This Row],[last_payout]]))</f>
        <v>2213</v>
      </c>
      <c r="E30" s="132">
        <f xml:space="preserve"> _xlfn.XLOOKUP(B30,Transactions!$B$2:$B$301,Transactions!$D$2:$D$301,"Not Found",,-1)</f>
        <v>44426</v>
      </c>
      <c r="F30" s="132">
        <f>Table7[[#This Row],[last_payout]]+Table4[[#This Row],[payout_days_interval]]</f>
        <v>44440</v>
      </c>
      <c r="G30" s="144" cm="1">
        <f t="array" ref="G30">SUM(_xlfn.XLOOKUP(Table7[[#This Row],[in-game_name]],Table8[[#Data],[#Totals],[in-game_name]],Table8[[#Data],[#Totals],[date]],,,-1),-_xlfn.XLOOKUP(Table7[[#This Row],[in-game_name]],Table8[[#Data],[#Totals],[in-game_name]],Table8[[#Data],[#Totals],[date]],,,1))</f>
        <v>6</v>
      </c>
      <c r="H30" s="145">
        <f>IFERROR(Table7[[#This Row],[lifetime_slp]]/(Table7[[#This Row],[career_duration]]/30.5),Table7[[#This Row],[lifetime_slp]]*1)</f>
        <v>15417.75</v>
      </c>
      <c r="I30" s="153">
        <f>IFERROR(Table7[[#This Row],[lifetime_slp]]/Table7[[#This Row],[career_duration]],Table7[[#This Row],[lifetime_slp]]*1/14)</f>
        <v>505.5</v>
      </c>
    </row>
    <row r="31" spans="1:9" x14ac:dyDescent="0.25">
      <c r="A31" s="142">
        <v>30</v>
      </c>
      <c r="B31" s="1" t="s">
        <v>71</v>
      </c>
      <c r="C31" s="143">
        <f>SUMIF(Table8[in-game_name],Table7[[#This Row],[in-game_name]],Table8[slp_farmed])</f>
        <v>28685</v>
      </c>
      <c r="D31" s="143" cm="1">
        <f t="array" ref="D31">_xlfn._xlws.FILTER(Table8[slp_farmed],(Table8[in-game_name]=Table7[[#This Row],[in-game_name]])*(Table8[date]=Table7[[#This Row],[last_payout]]))</f>
        <v>563</v>
      </c>
      <c r="E31" s="132">
        <f xml:space="preserve"> _xlfn.XLOOKUP(B31,Transactions!$B$2:$B$301,Transactions!$D$2:$D$301,"Not Found",,-1)</f>
        <v>44576</v>
      </c>
      <c r="F31" s="132">
        <f>Table7[[#This Row],[last_payout]]+Table4[[#This Row],[payout_days_interval]]</f>
        <v>44590</v>
      </c>
      <c r="G31" s="144" cm="1">
        <f t="array" ref="G31">SUM(_xlfn.XLOOKUP(Table7[[#This Row],[in-game_name]],Table8[[#Data],[#Totals],[in-game_name]],Table8[[#Data],[#Totals],[date]],,,-1),-_xlfn.XLOOKUP(Table7[[#This Row],[in-game_name]],Table8[[#Data],[#Totals],[in-game_name]],Table8[[#Data],[#Totals],[date]],,,1))</f>
        <v>153</v>
      </c>
      <c r="H31" s="145">
        <f>IFERROR(Table7[[#This Row],[lifetime_slp]]/(Table7[[#This Row],[career_duration]]/30.5),Table7[[#This Row],[lifetime_slp]]*1)</f>
        <v>5718.251633986928</v>
      </c>
      <c r="I31" s="153">
        <f>IFERROR(Table7[[#This Row],[lifetime_slp]]/Table7[[#This Row],[career_duration]],Table7[[#This Row],[lifetime_slp]]*1/14)</f>
        <v>187.48366013071896</v>
      </c>
    </row>
    <row r="32" spans="1:9" x14ac:dyDescent="0.25">
      <c r="A32" s="142">
        <v>31</v>
      </c>
      <c r="B32" s="1" t="s">
        <v>75</v>
      </c>
      <c r="C32" s="143">
        <f>SUMIF(Table8[in-game_name],Table7[[#This Row],[in-game_name]],Table8[slp_farmed])</f>
        <v>2146</v>
      </c>
      <c r="D32" s="143" cm="1">
        <f t="array" ref="D32">_xlfn._xlws.FILTER(Table8[slp_farmed],(Table8[in-game_name]=Table7[[#This Row],[in-game_name]])*(Table8[date]=Table7[[#This Row],[last_payout]]))</f>
        <v>1244</v>
      </c>
      <c r="E32" s="132">
        <f xml:space="preserve"> _xlfn.XLOOKUP(B32,Transactions!$B$2:$B$301,Transactions!$D$2:$D$301,"Not Found",,-1)</f>
        <v>44579</v>
      </c>
      <c r="F32" s="132">
        <f>Table7[[#This Row],[last_payout]]+Table4[[#This Row],[payout_days_interval]]</f>
        <v>44593</v>
      </c>
      <c r="G32" s="144" cm="1">
        <f t="array" ref="G32">SUM(_xlfn.XLOOKUP(Table7[[#This Row],[in-game_name]],Table8[[#Data],[#Totals],[in-game_name]],Table8[[#Data],[#Totals],[date]],,,-1),-_xlfn.XLOOKUP(Table7[[#This Row],[in-game_name]],Table8[[#Data],[#Totals],[in-game_name]],Table8[[#Data],[#Totals],[date]],,,1))</f>
        <v>14</v>
      </c>
      <c r="H32" s="145">
        <f>IFERROR(Table7[[#This Row],[lifetime_slp]]/(Table7[[#This Row],[career_duration]]/30.5),Table7[[#This Row],[lifetime_slp]]*1)</f>
        <v>4675.2142857142853</v>
      </c>
      <c r="I32" s="153">
        <f>IFERROR(Table7[[#This Row],[lifetime_slp]]/Table7[[#This Row],[career_duration]],Table7[[#This Row],[lifetime_slp]]*1/14)</f>
        <v>153.28571428571428</v>
      </c>
    </row>
    <row r="33" spans="1:9" x14ac:dyDescent="0.25">
      <c r="A33" s="142">
        <v>32</v>
      </c>
      <c r="B33" s="1" t="s">
        <v>79</v>
      </c>
      <c r="C33" s="143">
        <f>SUMIF(Table8[in-game_name],Table7[[#This Row],[in-game_name]],Table8[slp_farmed])</f>
        <v>2508</v>
      </c>
      <c r="D33" s="143" cm="1">
        <f t="array" ref="D33">_xlfn._xlws.FILTER(Table8[slp_farmed],(Table8[in-game_name]=Table7[[#This Row],[in-game_name]])*(Table8[date]=Table7[[#This Row],[last_payout]]))</f>
        <v>1242</v>
      </c>
      <c r="E33" s="132">
        <f xml:space="preserve"> _xlfn.XLOOKUP(B33,Transactions!$B$2:$B$301,Transactions!$D$2:$D$301,"Not Found",,-1)</f>
        <v>44576</v>
      </c>
      <c r="F33" s="132">
        <f>Table7[[#This Row],[last_payout]]+Table4[[#This Row],[payout_days_interval]]</f>
        <v>44590</v>
      </c>
      <c r="G33" s="144" cm="1">
        <f t="array" ref="G33">SUM(_xlfn.XLOOKUP(Table7[[#This Row],[in-game_name]],Table8[[#Data],[#Totals],[in-game_name]],Table8[[#Data],[#Totals],[date]],,,-1),-_xlfn.XLOOKUP(Table7[[#This Row],[in-game_name]],Table8[[#Data],[#Totals],[in-game_name]],Table8[[#Data],[#Totals],[date]],,,1))</f>
        <v>12</v>
      </c>
      <c r="H33" s="145">
        <f>IFERROR(Table7[[#This Row],[lifetime_slp]]/(Table7[[#This Row],[career_duration]]/30.5),Table7[[#This Row],[lifetime_slp]]*1)</f>
        <v>6374.5</v>
      </c>
      <c r="I33" s="153">
        <f>IFERROR(Table7[[#This Row],[lifetime_slp]]/Table7[[#This Row],[career_duration]],Table7[[#This Row],[lifetime_slp]]*1/14)</f>
        <v>209</v>
      </c>
    </row>
    <row r="34" spans="1:9" x14ac:dyDescent="0.25">
      <c r="A34" s="142">
        <v>33</v>
      </c>
      <c r="B34" s="1" t="s">
        <v>91</v>
      </c>
      <c r="C34" s="143">
        <f>SUMIF(Table8[in-game_name],Table7[[#This Row],[in-game_name]],Table8[slp_farmed])</f>
        <v>26977</v>
      </c>
      <c r="D34" s="143" cm="1">
        <f t="array" ref="D34">_xlfn._xlws.FILTER(Table8[slp_farmed],(Table8[in-game_name]=Table7[[#This Row],[in-game_name]])*(Table8[date]=Table7[[#This Row],[last_payout]]))</f>
        <v>1258</v>
      </c>
      <c r="E34" s="132">
        <f xml:space="preserve"> _xlfn.XLOOKUP(B34,Transactions!$B$2:$B$301,Transactions!$D$2:$D$301,"Not Found",,-1)</f>
        <v>44576</v>
      </c>
      <c r="F34" s="132">
        <f>Table7[[#This Row],[last_payout]]+Table4[[#This Row],[payout_days_interval]]</f>
        <v>44590</v>
      </c>
      <c r="G34" s="144" cm="1">
        <f t="array" ref="G34">SUM(_xlfn.XLOOKUP(Table7[[#This Row],[in-game_name]],Table8[[#Data],[#Totals],[in-game_name]],Table8[[#Data],[#Totals],[date]],,,-1),-_xlfn.XLOOKUP(Table7[[#This Row],[in-game_name]],Table8[[#Data],[#Totals],[in-game_name]],Table8[[#Data],[#Totals],[date]],,,1))</f>
        <v>187</v>
      </c>
      <c r="H34" s="145">
        <f>IFERROR(Table7[[#This Row],[lifetime_slp]]/(Table7[[#This Row],[career_duration]]/30.5),Table7[[#This Row],[lifetime_slp]]*1)</f>
        <v>4399.9919786096252</v>
      </c>
      <c r="I34" s="153">
        <f>IFERROR(Table7[[#This Row],[lifetime_slp]]/Table7[[#This Row],[career_duration]],Table7[[#This Row],[lifetime_slp]]*1/14)</f>
        <v>144.26203208556149</v>
      </c>
    </row>
    <row r="35" spans="1:9" x14ac:dyDescent="0.25">
      <c r="A35" s="142">
        <v>34</v>
      </c>
      <c r="B35" s="1" t="s">
        <v>93</v>
      </c>
      <c r="C35" s="143">
        <f>SUMIF(Table8[in-game_name],Table7[[#This Row],[in-game_name]],Table8[slp_farmed])</f>
        <v>77</v>
      </c>
      <c r="D35" s="143" cm="1">
        <f t="array" ref="D35">_xlfn._xlws.FILTER(Table8[slp_farmed],(Table8[in-game_name]=Table7[[#This Row],[in-game_name]])*(Table8[date]=Table7[[#This Row],[last_payout]]))</f>
        <v>77</v>
      </c>
      <c r="E35" s="132">
        <f xml:space="preserve"> _xlfn.XLOOKUP(B35,Transactions!$B$2:$B$301,Transactions!$D$2:$D$301,"Not Found",,-1)</f>
        <v>44574</v>
      </c>
      <c r="F35" s="132">
        <f>Table7[[#This Row],[last_payout]]+Table4[[#This Row],[payout_days_interval]]</f>
        <v>44592</v>
      </c>
      <c r="G35" s="144" cm="1">
        <f t="array" ref="G35">SUM(_xlfn.XLOOKUP(Table7[[#This Row],[in-game_name]],Table8[[#Data],[#Totals],[in-game_name]],Table8[[#Data],[#Totals],[date]],,,-1),-_xlfn.XLOOKUP(Table7[[#This Row],[in-game_name]],Table8[[#Data],[#Totals],[in-game_name]],Table8[[#Data],[#Totals],[date]],,,1))</f>
        <v>0</v>
      </c>
      <c r="H35" s="145">
        <f>IFERROR(Table7[[#This Row],[lifetime_slp]]/(Table7[[#This Row],[career_duration]]/30.5),Table7[[#This Row],[lifetime_slp]]*1)</f>
        <v>77</v>
      </c>
      <c r="I35" s="153">
        <f>IFERROR(Table7[[#This Row],[lifetime_slp]]/Table7[[#This Row],[career_duration]],Table7[[#This Row],[lifetime_slp]]*1/14)</f>
        <v>5.5</v>
      </c>
    </row>
    <row r="36" spans="1:9" x14ac:dyDescent="0.25">
      <c r="A36" s="142">
        <v>35</v>
      </c>
      <c r="B36" s="1" t="s">
        <v>7</v>
      </c>
      <c r="C36" s="143">
        <f>SUMIF(Table8[in-game_name],Table7[[#This Row],[in-game_name]],Table8[slp_farmed])</f>
        <v>12760</v>
      </c>
      <c r="D36" s="143" cm="1">
        <f t="array" ref="D36">_xlfn._xlws.FILTER(Table8[slp_farmed],(Table8[in-game_name]=Table7[[#This Row],[in-game_name]])*(Table8[date]=Table7[[#This Row],[last_payout]]))</f>
        <v>1584</v>
      </c>
      <c r="E36" s="132">
        <f xml:space="preserve"> _xlfn.XLOOKUP(B36,Transactions!$B$2:$B$301,Transactions!$D$2:$D$301,"Not Found",,-1)</f>
        <v>44576</v>
      </c>
      <c r="F36" s="132">
        <f>Table7[[#This Row],[last_payout]]+Table4[[#This Row],[payout_days_interval]]</f>
        <v>44606</v>
      </c>
      <c r="G36" s="144" cm="1">
        <f t="array" ref="G36">SUM(_xlfn.XLOOKUP(Table7[[#This Row],[in-game_name]],Table8[[#Data],[#Totals],[in-game_name]],Table8[[#Data],[#Totals],[date]],,,-1),-_xlfn.XLOOKUP(Table7[[#This Row],[in-game_name]],Table8[[#Data],[#Totals],[in-game_name]],Table8[[#Data],[#Totals],[date]],,,1))</f>
        <v>106</v>
      </c>
      <c r="H36" s="145">
        <f>IFERROR(Table7[[#This Row],[lifetime_slp]]/(Table7[[#This Row],[career_duration]]/30.5),Table7[[#This Row],[lifetime_slp]]*1)</f>
        <v>3671.5094339622642</v>
      </c>
      <c r="I36" s="153">
        <f>IFERROR(Table7[[#This Row],[lifetime_slp]]/Table7[[#This Row],[career_duration]],Table7[[#This Row],[lifetime_slp]]*1/14)</f>
        <v>120.37735849056604</v>
      </c>
    </row>
    <row r="37" spans="1:9" x14ac:dyDescent="0.25">
      <c r="A37" s="142">
        <v>36</v>
      </c>
      <c r="B37" s="1" t="s">
        <v>13</v>
      </c>
      <c r="C37" s="143">
        <f>SUMIF(Table8[in-game_name],Table7[[#This Row],[in-game_name]],Table8[slp_farmed])</f>
        <v>750</v>
      </c>
      <c r="D37" s="143" cm="1">
        <f t="array" ref="D37">_xlfn._xlws.FILTER(Table8[slp_farmed],(Table8[in-game_name]=Table7[[#This Row],[in-game_name]])*(Table8[date]=Table7[[#This Row],[last_payout]]))</f>
        <v>750</v>
      </c>
      <c r="E37" s="132">
        <f xml:space="preserve"> _xlfn.XLOOKUP(B37,Transactions!$B$2:$B$301,Transactions!$D$2:$D$301,"Not Found",,-1)</f>
        <v>44481</v>
      </c>
      <c r="F37" s="132">
        <f>Table7[[#This Row],[last_payout]]+Table4[[#This Row],[payout_days_interval]]</f>
        <v>44511</v>
      </c>
      <c r="G37" s="144" cm="1">
        <f t="array" ref="G37">SUM(_xlfn.XLOOKUP(Table7[[#This Row],[in-game_name]],Table8[[#Data],[#Totals],[in-game_name]],Table8[[#Data],[#Totals],[date]],,,-1),-_xlfn.XLOOKUP(Table7[[#This Row],[in-game_name]],Table8[[#Data],[#Totals],[in-game_name]],Table8[[#Data],[#Totals],[date]],,,1))</f>
        <v>0</v>
      </c>
      <c r="H37" s="145">
        <f>IFERROR(Table7[[#This Row],[lifetime_slp]]/(Table7[[#This Row],[career_duration]]/30.5),Table7[[#This Row],[lifetime_slp]]*1)</f>
        <v>750</v>
      </c>
      <c r="I37" s="153">
        <f>IFERROR(Table7[[#This Row],[lifetime_slp]]/Table7[[#This Row],[career_duration]],Table7[[#This Row],[lifetime_slp]]*1/14)</f>
        <v>53.571428571428569</v>
      </c>
    </row>
    <row r="38" spans="1:9" x14ac:dyDescent="0.25">
      <c r="A38" s="142">
        <v>37</v>
      </c>
      <c r="B38" s="1" t="s">
        <v>19</v>
      </c>
      <c r="C38" s="143">
        <f>SUMIF(Table8[in-game_name],Table7[[#This Row],[in-game_name]],Table8[slp_farmed])</f>
        <v>21475</v>
      </c>
      <c r="D38" s="143" cm="1">
        <f t="array" ref="D38">_xlfn._xlws.FILTER(Table8[slp_farmed],(Table8[in-game_name]=Table7[[#This Row],[in-game_name]])*(Table8[date]=Table7[[#This Row],[last_payout]]))</f>
        <v>2076</v>
      </c>
      <c r="E38" s="132">
        <f xml:space="preserve"> _xlfn.XLOOKUP(B38,Transactions!$B$2:$B$301,Transactions!$D$2:$D$301,"Not Found",,-1)</f>
        <v>44575</v>
      </c>
      <c r="F38" s="132">
        <f>Table7[[#This Row],[last_payout]]+Table4[[#This Row],[payout_days_interval]]</f>
        <v>44605</v>
      </c>
      <c r="G38" s="144" cm="1">
        <f t="array" ref="G38">SUM(_xlfn.XLOOKUP(Table7[[#This Row],[in-game_name]],Table8[[#Data],[#Totals],[in-game_name]],Table8[[#Data],[#Totals],[date]],,,-1),-_xlfn.XLOOKUP(Table7[[#This Row],[in-game_name]],Table8[[#Data],[#Totals],[in-game_name]],Table8[[#Data],[#Totals],[date]],,,1))</f>
        <v>133</v>
      </c>
      <c r="H38" s="145">
        <f>IFERROR(Table7[[#This Row],[lifetime_slp]]/(Table7[[#This Row],[career_duration]]/30.5),Table7[[#This Row],[lifetime_slp]]*1)</f>
        <v>4924.7180451127824</v>
      </c>
      <c r="I38" s="153">
        <f>IFERROR(Table7[[#This Row],[lifetime_slp]]/Table7[[#This Row],[career_duration]],Table7[[#This Row],[lifetime_slp]]*1/14)</f>
        <v>161.46616541353384</v>
      </c>
    </row>
    <row r="39" spans="1:9" x14ac:dyDescent="0.25">
      <c r="A39" s="142">
        <v>38</v>
      </c>
      <c r="B39" s="1" t="s">
        <v>25</v>
      </c>
      <c r="C39" s="143">
        <f>SUMIF(Table8[in-game_name],Table7[[#This Row],[in-game_name]],Table8[slp_farmed])</f>
        <v>15988</v>
      </c>
      <c r="D39" s="143" cm="1">
        <f t="array" ref="D39">_xlfn._xlws.FILTER(Table8[slp_farmed],(Table8[in-game_name]=Table7[[#This Row],[in-game_name]])*(Table8[date]=Table7[[#This Row],[last_payout]]))</f>
        <v>1761</v>
      </c>
      <c r="E39" s="132">
        <f xml:space="preserve"> _xlfn.XLOOKUP(B39,Transactions!$B$2:$B$301,Transactions!$D$2:$D$301,"Not Found",,-1)</f>
        <v>44575</v>
      </c>
      <c r="F39" s="132">
        <f>Table7[[#This Row],[last_payout]]+Table4[[#This Row],[payout_days_interval]]</f>
        <v>44605</v>
      </c>
      <c r="G39" s="144" cm="1">
        <f t="array" ref="G39">SUM(_xlfn.XLOOKUP(Table7[[#This Row],[in-game_name]],Table8[[#Data],[#Totals],[in-game_name]],Table8[[#Data],[#Totals],[date]],,,-1),-_xlfn.XLOOKUP(Table7[[#This Row],[in-game_name]],Table8[[#Data],[#Totals],[in-game_name]],Table8[[#Data],[#Totals],[date]],,,1))</f>
        <v>103</v>
      </c>
      <c r="H39" s="145">
        <f>IFERROR(Table7[[#This Row],[lifetime_slp]]/(Table7[[#This Row],[career_duration]]/30.5),Table7[[#This Row],[lifetime_slp]]*1)</f>
        <v>4734.3106796116499</v>
      </c>
      <c r="I39" s="153">
        <f>IFERROR(Table7[[#This Row],[lifetime_slp]]/Table7[[#This Row],[career_duration]],Table7[[#This Row],[lifetime_slp]]*1/14)</f>
        <v>155.22330097087379</v>
      </c>
    </row>
    <row r="40" spans="1:9" x14ac:dyDescent="0.25">
      <c r="A40" s="142">
        <v>39</v>
      </c>
      <c r="B40" s="1" t="s">
        <v>29</v>
      </c>
      <c r="C40" s="143">
        <f>SUMIF(Table8[in-game_name],Table7[[#This Row],[in-game_name]],Table8[slp_farmed])</f>
        <v>17527</v>
      </c>
      <c r="D40" s="143" cm="1">
        <f t="array" ref="D40">_xlfn._xlws.FILTER(Table8[slp_farmed],(Table8[in-game_name]=Table7[[#This Row],[in-game_name]])*(Table8[date]=Table7[[#This Row],[last_payout]]))</f>
        <v>1943</v>
      </c>
      <c r="E40" s="132">
        <f xml:space="preserve"> _xlfn.XLOOKUP(B40,Transactions!$B$2:$B$301,Transactions!$D$2:$D$301,"Not Found",,-1)</f>
        <v>44575</v>
      </c>
      <c r="F40" s="132">
        <f>Table7[[#This Row],[last_payout]]+Table4[[#This Row],[payout_days_interval]]</f>
        <v>44589</v>
      </c>
      <c r="G40" s="144" cm="1">
        <f t="array" ref="G40">SUM(_xlfn.XLOOKUP(Table7[[#This Row],[in-game_name]],Table8[[#Data],[#Totals],[in-game_name]],Table8[[#Data],[#Totals],[date]],,,-1),-_xlfn.XLOOKUP(Table7[[#This Row],[in-game_name]],Table8[[#Data],[#Totals],[in-game_name]],Table8[[#Data],[#Totals],[date]],,,1))</f>
        <v>138</v>
      </c>
      <c r="H40" s="145">
        <f>IFERROR(Table7[[#This Row],[lifetime_slp]]/(Table7[[#This Row],[career_duration]]/30.5),Table7[[#This Row],[lifetime_slp]]*1)</f>
        <v>3873.721014492754</v>
      </c>
      <c r="I40" s="153">
        <f>IFERROR(Table7[[#This Row],[lifetime_slp]]/Table7[[#This Row],[career_duration]],Table7[[#This Row],[lifetime_slp]]*1/14)</f>
        <v>127.00724637681159</v>
      </c>
    </row>
    <row r="41" spans="1:9" x14ac:dyDescent="0.25">
      <c r="A41" s="142">
        <v>40</v>
      </c>
      <c r="B41" s="1" t="s">
        <v>33</v>
      </c>
      <c r="C41" s="143">
        <f>SUMIF(Table8[in-game_name],Table7[[#This Row],[in-game_name]],Table8[slp_farmed])</f>
        <v>6493</v>
      </c>
      <c r="D41" s="143" cm="1">
        <f t="array" ref="D41">_xlfn._xlws.FILTER(Table8[slp_farmed],(Table8[in-game_name]=Table7[[#This Row],[in-game_name]])*(Table8[date]=Table7[[#This Row],[last_payout]]))</f>
        <v>1674</v>
      </c>
      <c r="E41" s="132">
        <f xml:space="preserve"> _xlfn.XLOOKUP(B41,Transactions!$B$2:$B$301,Transactions!$D$2:$D$301,"Not Found",,-1)</f>
        <v>44579</v>
      </c>
      <c r="F41" s="132">
        <f>Table7[[#This Row],[last_payout]]+Table4[[#This Row],[payout_days_interval]]</f>
        <v>44593</v>
      </c>
      <c r="G41" s="144" cm="1">
        <f t="array" ref="G41">SUM(_xlfn.XLOOKUP(Table7[[#This Row],[in-game_name]],Table8[[#Data],[#Totals],[in-game_name]],Table8[[#Data],[#Totals],[date]],,,-1),-_xlfn.XLOOKUP(Table7[[#This Row],[in-game_name]],Table8[[#Data],[#Totals],[in-game_name]],Table8[[#Data],[#Totals],[date]],,,1))</f>
        <v>44</v>
      </c>
      <c r="H41" s="145">
        <f>IFERROR(Table7[[#This Row],[lifetime_slp]]/(Table7[[#This Row],[career_duration]]/30.5),Table7[[#This Row],[lifetime_slp]]*1)</f>
        <v>4500.829545454545</v>
      </c>
      <c r="I41" s="153">
        <f>IFERROR(Table7[[#This Row],[lifetime_slp]]/Table7[[#This Row],[career_duration]],Table7[[#This Row],[lifetime_slp]]*1/14)</f>
        <v>147.56818181818181</v>
      </c>
    </row>
    <row r="42" spans="1:9" x14ac:dyDescent="0.25">
      <c r="A42" s="142">
        <v>41</v>
      </c>
      <c r="B42" s="1" t="s">
        <v>38</v>
      </c>
      <c r="C42" s="143">
        <f>SUMIF(Table8[in-game_name],Table7[[#This Row],[in-game_name]],Table8[slp_farmed])</f>
        <v>32115</v>
      </c>
      <c r="D42" s="143" cm="1">
        <f t="array" ref="D42">_xlfn._xlws.FILTER(Table8[slp_farmed],(Table8[in-game_name]=Table7[[#This Row],[in-game_name]])*(Table8[date]=Table7[[#This Row],[last_payout]]))</f>
        <v>1974</v>
      </c>
      <c r="E42" s="132">
        <f xml:space="preserve"> _xlfn.XLOOKUP(B42,Transactions!$B$2:$B$301,Transactions!$D$2:$D$301,"Not Found",,-1)</f>
        <v>44575</v>
      </c>
      <c r="F42" s="132">
        <f>Table7[[#This Row],[last_payout]]+Table4[[#This Row],[payout_days_interval]]</f>
        <v>44605</v>
      </c>
      <c r="G42" s="144" cm="1">
        <f t="array" ref="G42">SUM(_xlfn.XLOOKUP(Table7[[#This Row],[in-game_name]],Table8[[#Data],[#Totals],[in-game_name]],Table8[[#Data],[#Totals],[date]],,,-1),-_xlfn.XLOOKUP(Table7[[#This Row],[in-game_name]],Table8[[#Data],[#Totals],[in-game_name]],Table8[[#Data],[#Totals],[date]],,,1))</f>
        <v>167</v>
      </c>
      <c r="H42" s="145">
        <f>IFERROR(Table7[[#This Row],[lifetime_slp]]/(Table7[[#This Row],[career_duration]]/30.5),Table7[[#This Row],[lifetime_slp]]*1)</f>
        <v>5865.3143712574847</v>
      </c>
      <c r="I42" s="153">
        <f>IFERROR(Table7[[#This Row],[lifetime_slp]]/Table7[[#This Row],[career_duration]],Table7[[#This Row],[lifetime_slp]]*1/14)</f>
        <v>192.30538922155688</v>
      </c>
    </row>
    <row r="43" spans="1:9" x14ac:dyDescent="0.25">
      <c r="A43" s="142">
        <v>42</v>
      </c>
      <c r="B43" s="1" t="s">
        <v>43</v>
      </c>
      <c r="C43" s="143">
        <f>SUMIF(Table8[in-game_name],Table7[[#This Row],[in-game_name]],Table8[slp_farmed])</f>
        <v>24002</v>
      </c>
      <c r="D43" s="143" cm="1">
        <f t="array" ref="D43">_xlfn._xlws.FILTER(Table8[slp_farmed],(Table8[in-game_name]=Table7[[#This Row],[in-game_name]])*(Table8[date]=Table7[[#This Row],[last_payout]]))</f>
        <v>1986</v>
      </c>
      <c r="E43" s="132">
        <f xml:space="preserve"> _xlfn.XLOOKUP(B43,Transactions!$B$2:$B$301,Transactions!$D$2:$D$301,"Not Found",,-1)</f>
        <v>44575</v>
      </c>
      <c r="F43" s="132">
        <f>Table7[[#This Row],[last_payout]]+Table4[[#This Row],[payout_days_interval]]</f>
        <v>44605</v>
      </c>
      <c r="G43" s="144" cm="1">
        <f t="array" ref="G43">SUM(_xlfn.XLOOKUP(Table7[[#This Row],[in-game_name]],Table8[[#Data],[#Totals],[in-game_name]],Table8[[#Data],[#Totals],[date]],,,-1),-_xlfn.XLOOKUP(Table7[[#This Row],[in-game_name]],Table8[[#Data],[#Totals],[in-game_name]],Table8[[#Data],[#Totals],[date]],,,1))</f>
        <v>101</v>
      </c>
      <c r="H43" s="145">
        <f>IFERROR(Table7[[#This Row],[lifetime_slp]]/(Table7[[#This Row],[career_duration]]/30.5),Table7[[#This Row],[lifetime_slp]]*1)</f>
        <v>7248.1287128712866</v>
      </c>
      <c r="I43" s="153">
        <f>IFERROR(Table7[[#This Row],[lifetime_slp]]/Table7[[#This Row],[career_duration]],Table7[[#This Row],[lifetime_slp]]*1/14)</f>
        <v>237.64356435643563</v>
      </c>
    </row>
    <row r="44" spans="1:9" x14ac:dyDescent="0.25">
      <c r="A44" s="142">
        <v>43</v>
      </c>
      <c r="B44" s="1" t="s">
        <v>48</v>
      </c>
      <c r="C44" s="143">
        <f>SUMIF(Table8[in-game_name],Table7[[#This Row],[in-game_name]],Table8[slp_farmed])</f>
        <v>12365</v>
      </c>
      <c r="D44" s="143" cm="1">
        <f t="array" ref="D44">_xlfn._xlws.FILTER(Table8[slp_farmed],(Table8[in-game_name]=Table7[[#This Row],[in-game_name]])*(Table8[date]=Table7[[#This Row],[last_payout]]))</f>
        <v>914</v>
      </c>
      <c r="E44" s="132">
        <f xml:space="preserve"> _xlfn.XLOOKUP(B44,Transactions!$B$2:$B$301,Transactions!$D$2:$D$301,"Not Found",,-1)</f>
        <v>44564</v>
      </c>
      <c r="F44" s="132">
        <f>Table7[[#This Row],[last_payout]]+Table4[[#This Row],[payout_days_interval]]</f>
        <v>44578</v>
      </c>
      <c r="G44" s="144" cm="1">
        <f t="array" ref="G44">SUM(_xlfn.XLOOKUP(Table7[[#This Row],[in-game_name]],Table8[[#Data],[#Totals],[in-game_name]],Table8[[#Data],[#Totals],[date]],,,-1),-_xlfn.XLOOKUP(Table7[[#This Row],[in-game_name]],Table8[[#Data],[#Totals],[in-game_name]],Table8[[#Data],[#Totals],[date]],,,1))</f>
        <v>81</v>
      </c>
      <c r="H44" s="145">
        <f>IFERROR(Table7[[#This Row],[lifetime_slp]]/(Table7[[#This Row],[career_duration]]/30.5),Table7[[#This Row],[lifetime_slp]]*1)</f>
        <v>4655.9567901234568</v>
      </c>
      <c r="I44" s="153">
        <f>IFERROR(Table7[[#This Row],[lifetime_slp]]/Table7[[#This Row],[career_duration]],Table7[[#This Row],[lifetime_slp]]*1/14)</f>
        <v>152.65432098765433</v>
      </c>
    </row>
    <row r="45" spans="1:9" x14ac:dyDescent="0.25">
      <c r="A45" s="142">
        <v>44</v>
      </c>
      <c r="B45" s="1" t="s">
        <v>53</v>
      </c>
      <c r="C45" s="143">
        <f>SUMIF(Table8[in-game_name],Table7[[#This Row],[in-game_name]],Table8[slp_farmed])</f>
        <v>639</v>
      </c>
      <c r="D45" s="143" cm="1">
        <f t="array" ref="D45">_xlfn._xlws.FILTER(Table8[slp_farmed],(Table8[in-game_name]=Table7[[#This Row],[in-game_name]])*(Table8[date]=Table7[[#This Row],[last_payout]]))</f>
        <v>639</v>
      </c>
      <c r="E45" s="132">
        <f xml:space="preserve"> _xlfn.XLOOKUP(B45,Transactions!$B$2:$B$301,Transactions!$D$2:$D$301,"Not Found",,-1)</f>
        <v>44515</v>
      </c>
      <c r="F45" s="132">
        <f>Table7[[#This Row],[last_payout]]+Table4[[#This Row],[payout_days_interval]]</f>
        <v>44529</v>
      </c>
      <c r="G45" s="144" cm="1">
        <f t="array" ref="G45">SUM(_xlfn.XLOOKUP(Table7[[#This Row],[in-game_name]],Table8[[#Data],[#Totals],[in-game_name]],Table8[[#Data],[#Totals],[date]],,,-1),-_xlfn.XLOOKUP(Table7[[#This Row],[in-game_name]],Table8[[#Data],[#Totals],[in-game_name]],Table8[[#Data],[#Totals],[date]],,,1))</f>
        <v>0</v>
      </c>
      <c r="H45" s="145">
        <f>IFERROR(Table7[[#This Row],[lifetime_slp]]/(Table7[[#This Row],[career_duration]]/30.5),Table7[[#This Row],[lifetime_slp]]*1)</f>
        <v>639</v>
      </c>
      <c r="I45" s="153">
        <f>IFERROR(Table7[[#This Row],[lifetime_slp]]/Table7[[#This Row],[career_duration]],Table7[[#This Row],[lifetime_slp]]*1/14)</f>
        <v>45.642857142857146</v>
      </c>
    </row>
    <row r="46" spans="1:9" x14ac:dyDescent="0.25">
      <c r="A46" s="142">
        <v>45</v>
      </c>
      <c r="B46" s="1" t="s">
        <v>57</v>
      </c>
      <c r="C46" s="143">
        <f>SUMIF(Table8[in-game_name],Table7[[#This Row],[in-game_name]],Table8[slp_farmed])</f>
        <v>2449</v>
      </c>
      <c r="D46" s="143" cm="1">
        <f t="array" ref="D46">_xlfn._xlws.FILTER(Table8[slp_farmed],(Table8[in-game_name]=Table7[[#This Row],[in-game_name]])*(Table8[date]=Table7[[#This Row],[last_payout]]))</f>
        <v>2209</v>
      </c>
      <c r="E46" s="132">
        <f xml:space="preserve"> _xlfn.XLOOKUP(B46,Transactions!$B$2:$B$301,Transactions!$D$2:$D$301,"Not Found",,-1)</f>
        <v>44526</v>
      </c>
      <c r="F46" s="132">
        <f>Table7[[#This Row],[last_payout]]+Table4[[#This Row],[payout_days_interval]]</f>
        <v>44540</v>
      </c>
      <c r="G46" s="144" cm="1">
        <f t="array" ref="G46">SUM(_xlfn.XLOOKUP(Table7[[#This Row],[in-game_name]],Table8[[#Data],[#Totals],[in-game_name]],Table8[[#Data],[#Totals],[date]],,,-1),-_xlfn.XLOOKUP(Table7[[#This Row],[in-game_name]],Table8[[#Data],[#Totals],[in-game_name]],Table8[[#Data],[#Totals],[date]],,,1))</f>
        <v>47</v>
      </c>
      <c r="H46" s="145">
        <f>IFERROR(Table7[[#This Row],[lifetime_slp]]/(Table7[[#This Row],[career_duration]]/30.5),Table7[[#This Row],[lifetime_slp]]*1)</f>
        <v>1589.244680851064</v>
      </c>
      <c r="I46" s="153">
        <f>IFERROR(Table7[[#This Row],[lifetime_slp]]/Table7[[#This Row],[career_duration]],Table7[[#This Row],[lifetime_slp]]*1/14)</f>
        <v>52.106382978723403</v>
      </c>
    </row>
    <row r="47" spans="1:9" x14ac:dyDescent="0.25">
      <c r="A47" s="142">
        <v>46</v>
      </c>
      <c r="B47" s="1" t="s">
        <v>64</v>
      </c>
      <c r="C47" s="143">
        <f>SUMIF(Table8[in-game_name],Table7[[#This Row],[in-game_name]],Table8[slp_farmed])</f>
        <v>877</v>
      </c>
      <c r="D47" s="143" cm="1">
        <f t="array" ref="D47">_xlfn._xlws.FILTER(Table8[slp_farmed],(Table8[in-game_name]=Table7[[#This Row],[in-game_name]])*(Table8[date]=Table7[[#This Row],[last_payout]]))</f>
        <v>877</v>
      </c>
      <c r="E47" s="132">
        <f xml:space="preserve"> _xlfn.XLOOKUP(B47,Transactions!$B$2:$B$301,Transactions!$D$2:$D$301,"Not Found",,-1)</f>
        <v>44551</v>
      </c>
      <c r="F47" s="132">
        <f>Table7[[#This Row],[last_payout]]+Table4[[#This Row],[payout_days_interval]]</f>
        <v>44565</v>
      </c>
      <c r="G47" s="144" cm="1">
        <f t="array" ref="G47">SUM(_xlfn.XLOOKUP(Table7[[#This Row],[in-game_name]],Table8[[#Data],[#Totals],[in-game_name]],Table8[[#Data],[#Totals],[date]],,,-1),-_xlfn.XLOOKUP(Table7[[#This Row],[in-game_name]],Table8[[#Data],[#Totals],[in-game_name]],Table8[[#Data],[#Totals],[date]],,,1))</f>
        <v>0</v>
      </c>
      <c r="H47" s="145">
        <f>IFERROR(Table7[[#This Row],[lifetime_slp]]/(Table7[[#This Row],[career_duration]]/30.5),Table7[[#This Row],[lifetime_slp]]*1)</f>
        <v>877</v>
      </c>
      <c r="I47" s="153">
        <f>IFERROR(Table7[[#This Row],[lifetime_slp]]/Table7[[#This Row],[career_duration]],Table7[[#This Row],[lifetime_slp]]*1/14)</f>
        <v>62.642857142857146</v>
      </c>
    </row>
    <row r="48" spans="1:9" x14ac:dyDescent="0.25">
      <c r="A48" s="142">
        <v>47</v>
      </c>
      <c r="B48" s="1" t="s">
        <v>72</v>
      </c>
      <c r="C48" s="143">
        <f>SUMIF(Table8[in-game_name],Table7[[#This Row],[in-game_name]],Table8[slp_farmed])</f>
        <v>7442</v>
      </c>
      <c r="D48" s="143" cm="1">
        <f t="array" ref="D48">_xlfn._xlws.FILTER(Table8[slp_farmed],(Table8[in-game_name]=Table7[[#This Row],[in-game_name]])*(Table8[date]=Table7[[#This Row],[last_payout]]))</f>
        <v>662</v>
      </c>
      <c r="E48" s="132">
        <f xml:space="preserve"> _xlfn.XLOOKUP(B48,Transactions!$B$2:$B$301,Transactions!$D$2:$D$301,"Not Found",,-1)</f>
        <v>44521</v>
      </c>
      <c r="F48" s="132">
        <f>Table7[[#This Row],[last_payout]]+Table4[[#This Row],[payout_days_interval]]</f>
        <v>44551</v>
      </c>
      <c r="G48" s="144" cm="1">
        <f t="array" ref="G48">SUM(_xlfn.XLOOKUP(Table7[[#This Row],[in-game_name]],Table8[[#Data],[#Totals],[in-game_name]],Table8[[#Data],[#Totals],[date]],,,-1),-_xlfn.XLOOKUP(Table7[[#This Row],[in-game_name]],Table8[[#Data],[#Totals],[in-game_name]],Table8[[#Data],[#Totals],[date]],,,1))</f>
        <v>42</v>
      </c>
      <c r="H48" s="145">
        <f>IFERROR(Table7[[#This Row],[lifetime_slp]]/(Table7[[#This Row],[career_duration]]/30.5),Table7[[#This Row],[lifetime_slp]]*1)</f>
        <v>5404.3095238095239</v>
      </c>
      <c r="I48" s="153">
        <f>IFERROR(Table7[[#This Row],[lifetime_slp]]/Table7[[#This Row],[career_duration]],Table7[[#This Row],[lifetime_slp]]*1/14)</f>
        <v>177.1904761904762</v>
      </c>
    </row>
    <row r="49" spans="1:9" x14ac:dyDescent="0.25">
      <c r="A49" s="142">
        <v>48</v>
      </c>
      <c r="B49" s="1" t="s">
        <v>76</v>
      </c>
      <c r="C49" s="143">
        <f>SUMIF(Table8[in-game_name],Table7[[#This Row],[in-game_name]],Table8[slp_farmed])</f>
        <v>286</v>
      </c>
      <c r="D49" s="143" cm="1">
        <f t="array" ref="D49">_xlfn._xlws.FILTER(Table8[slp_farmed],(Table8[in-game_name]=Table7[[#This Row],[in-game_name]])*(Table8[date]=Table7[[#This Row],[last_payout]]))</f>
        <v>286</v>
      </c>
      <c r="E49" s="132">
        <f xml:space="preserve"> _xlfn.XLOOKUP(B49,Transactions!$B$2:$B$301,Transactions!$D$2:$D$301,"Not Found",,-1)</f>
        <v>44578</v>
      </c>
      <c r="F49" s="132">
        <f>Table7[[#This Row],[last_payout]]+Table4[[#This Row],[payout_days_interval]]</f>
        <v>44592</v>
      </c>
      <c r="G49" s="144" cm="1">
        <f t="array" ref="G49">SUM(_xlfn.XLOOKUP(Table7[[#This Row],[in-game_name]],Table8[[#Data],[#Totals],[in-game_name]],Table8[[#Data],[#Totals],[date]],,,-1),-_xlfn.XLOOKUP(Table7[[#This Row],[in-game_name]],Table8[[#Data],[#Totals],[in-game_name]],Table8[[#Data],[#Totals],[date]],,,1))</f>
        <v>0</v>
      </c>
      <c r="H49" s="145">
        <f>IFERROR(Table7[[#This Row],[lifetime_slp]]/(Table7[[#This Row],[career_duration]]/30.5),Table7[[#This Row],[lifetime_slp]]*1)</f>
        <v>286</v>
      </c>
      <c r="I49" s="153">
        <f>IFERROR(Table7[[#This Row],[lifetime_slp]]/Table7[[#This Row],[career_duration]],Table7[[#This Row],[lifetime_slp]]*1/14)</f>
        <v>20.428571428571427</v>
      </c>
    </row>
    <row r="50" spans="1:9" x14ac:dyDescent="0.25">
      <c r="A50" s="142">
        <v>49</v>
      </c>
      <c r="B50" s="1" t="s">
        <v>80</v>
      </c>
      <c r="C50" s="143">
        <f>SUMIF(Table8[in-game_name],Table7[[#This Row],[in-game_name]],Table8[slp_farmed])</f>
        <v>27305</v>
      </c>
      <c r="D50" s="143" cm="1">
        <f t="array" ref="D50">_xlfn._xlws.FILTER(Table8[slp_farmed],(Table8[in-game_name]=Table7[[#This Row],[in-game_name]])*(Table8[date]=Table7[[#This Row],[last_payout]]))</f>
        <v>1477</v>
      </c>
      <c r="E50" s="132">
        <f xml:space="preserve"> _xlfn.XLOOKUP(B50,Transactions!$B$2:$B$301,Transactions!$D$2:$D$301,"Not Found",,-1)</f>
        <v>44549</v>
      </c>
      <c r="F50" s="132">
        <f>Table7[[#This Row],[last_payout]]+Table4[[#This Row],[payout_days_interval]]</f>
        <v>44563</v>
      </c>
      <c r="G50" s="144" cm="1">
        <f t="array" ref="G50">SUM(_xlfn.XLOOKUP(Table7[[#This Row],[in-game_name]],Table8[[#Data],[#Totals],[in-game_name]],Table8[[#Data],[#Totals],[date]],,,-1),-_xlfn.XLOOKUP(Table7[[#This Row],[in-game_name]],Table8[[#Data],[#Totals],[in-game_name]],Table8[[#Data],[#Totals],[date]],,,1))</f>
        <v>141</v>
      </c>
      <c r="H50" s="145">
        <f>IFERROR(Table7[[#This Row],[lifetime_slp]]/(Table7[[#This Row],[career_duration]]/30.5),Table7[[#This Row],[lifetime_slp]]*1)</f>
        <v>5906.4007092198581</v>
      </c>
      <c r="I50" s="153">
        <f>IFERROR(Table7[[#This Row],[lifetime_slp]]/Table7[[#This Row],[career_duration]],Table7[[#This Row],[lifetime_slp]]*1/14)</f>
        <v>193.65248226950354</v>
      </c>
    </row>
    <row r="51" spans="1:9" x14ac:dyDescent="0.25">
      <c r="A51" s="146"/>
      <c r="B51" s="16"/>
      <c r="C51" s="147"/>
      <c r="D51" s="147"/>
      <c r="E51" s="148"/>
      <c r="F51" s="148"/>
      <c r="G51" s="149"/>
      <c r="H51" s="150"/>
      <c r="I51" s="154"/>
    </row>
    <row r="53" spans="1:9" x14ac:dyDescent="0.3">
      <c r="D53" s="4" t="s">
        <v>329</v>
      </c>
    </row>
    <row r="54" spans="1:9" x14ac:dyDescent="0.3">
      <c r="D54" s="204" t="s">
        <v>330</v>
      </c>
      <c r="F54" s="206" t="s">
        <v>331</v>
      </c>
      <c r="I54" s="207" t="s">
        <v>332</v>
      </c>
    </row>
    <row r="55" spans="1:9" x14ac:dyDescent="0.3">
      <c r="D55" s="205" t="s">
        <v>333</v>
      </c>
      <c r="I55" s="208" t="s">
        <v>334</v>
      </c>
    </row>
  </sheetData>
  <phoneticPr fontId="2" type="noConversion"/>
  <conditionalFormatting sqref="C2:C50">
    <cfRule type="dataBar" priority="12">
      <dataBar>
        <cfvo type="min"/>
        <cfvo type="max"/>
        <color theme="4" tint="0.59999389629810485"/>
      </dataBar>
      <extLst>
        <ext xmlns:x14="http://schemas.microsoft.com/office/spreadsheetml/2009/9/main" uri="{B025F937-C7B1-47D3-B67F-A62EFF666E3E}">
          <x14:id>{014E07E0-89F9-4828-BA9B-375D7373E57D}</x14:id>
        </ext>
      </extLst>
    </cfRule>
  </conditionalFormatting>
  <conditionalFormatting sqref="D2:D50">
    <cfRule type="top10" dxfId="5" priority="4" rank="5"/>
    <cfRule type="dataBar" priority="7">
      <dataBar>
        <cfvo type="min"/>
        <cfvo type="max"/>
        <color theme="4" tint="0.59999389629810485"/>
      </dataBar>
      <extLst>
        <ext xmlns:x14="http://schemas.microsoft.com/office/spreadsheetml/2009/9/main" uri="{B025F937-C7B1-47D3-B67F-A62EFF666E3E}">
          <x14:id>{33A22380-F321-426B-B3A7-F63BC72BC6A7}</x14:id>
        </ext>
      </extLst>
    </cfRule>
  </conditionalFormatting>
  <conditionalFormatting sqref="D2:D51">
    <cfRule type="top10" dxfId="4" priority="6" bottom="1" rank="10"/>
  </conditionalFormatting>
  <conditionalFormatting sqref="F2:G2 F3:F50 G3:G51">
    <cfRule type="top10" dxfId="3" priority="5" rank="10"/>
  </conditionalFormatting>
  <conditionalFormatting sqref="I2:I51">
    <cfRule type="top10" dxfId="2" priority="2" rank="5"/>
    <cfRule type="top10" dxfId="1" priority="3" rank="10"/>
  </conditionalFormatting>
  <pageMargins left="0.7" right="0.7" top="0.75" bottom="0.75" header="0.3" footer="0.3"/>
  <pageSetup orientation="portrait"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14E07E0-89F9-4828-BA9B-375D7373E57D}">
            <x14:dataBar minLength="0" maxLength="100" gradient="0">
              <x14:cfvo type="autoMin"/>
              <x14:cfvo type="autoMax"/>
              <x14:negativeFillColor rgb="FFFF0000"/>
              <x14:axisColor rgb="FF000000"/>
            </x14:dataBar>
          </x14:cfRule>
          <xm:sqref>C2:C50</xm:sqref>
        </x14:conditionalFormatting>
        <x14:conditionalFormatting xmlns:xm="http://schemas.microsoft.com/office/excel/2006/main">
          <x14:cfRule type="dataBar" id="{33A22380-F321-426B-B3A7-F63BC72BC6A7}">
            <x14:dataBar minLength="0" maxLength="100" gradient="0">
              <x14:cfvo type="autoMin"/>
              <x14:cfvo type="autoMax"/>
              <x14:negativeFillColor rgb="FFFF0000"/>
              <x14:axisColor rgb="FF000000"/>
            </x14:dataBar>
          </x14:cfRule>
          <xm:sqref>D2:D50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82675-6C3A-4297-97FD-501E1564A941}">
  <sheetPr codeName="Sheet5"/>
  <dimension ref="B2:X353"/>
  <sheetViews>
    <sheetView workbookViewId="0">
      <selection activeCell="I20" sqref="I20"/>
    </sheetView>
  </sheetViews>
  <sheetFormatPr defaultRowHeight="16.5" x14ac:dyDescent="0.25"/>
  <cols>
    <col min="1" max="1" width="5.28515625" style="5" customWidth="1"/>
    <col min="2" max="2" width="8.5703125" style="5" bestFit="1" customWidth="1"/>
    <col min="3" max="3" width="28.7109375" style="5" bestFit="1" customWidth="1"/>
    <col min="4" max="4" width="5" style="5" customWidth="1"/>
    <col min="5" max="5" width="13.28515625" style="5" customWidth="1"/>
    <col min="6" max="6" width="31.5703125" style="5" bestFit="1" customWidth="1"/>
    <col min="7" max="7" width="4.5703125" style="5" bestFit="1" customWidth="1"/>
    <col min="8" max="8" width="13.140625" style="5" bestFit="1" customWidth="1"/>
    <col min="9" max="9" width="15.42578125" style="5" bestFit="1" customWidth="1"/>
    <col min="10" max="10" width="5.28515625" style="5" customWidth="1"/>
    <col min="11" max="11" width="15" style="5" bestFit="1" customWidth="1"/>
    <col min="12" max="12" width="8.5703125" style="5" bestFit="1" customWidth="1"/>
    <col min="13" max="13" width="8" style="5" bestFit="1" customWidth="1"/>
    <col min="14" max="14" width="7.42578125" style="5" bestFit="1" customWidth="1"/>
    <col min="15" max="16" width="9" style="5" bestFit="1" customWidth="1"/>
    <col min="17" max="17" width="8" style="5" bestFit="1" customWidth="1"/>
    <col min="18" max="18" width="8.5703125" style="5" bestFit="1" customWidth="1"/>
    <col min="19" max="19" width="7.42578125" style="5" bestFit="1" customWidth="1"/>
    <col min="20" max="20" width="11.42578125" style="5" bestFit="1" customWidth="1"/>
    <col min="21" max="21" width="5.28515625" style="5" customWidth="1"/>
    <col min="22" max="22" width="13.140625" style="5" bestFit="1" customWidth="1"/>
    <col min="23" max="23" width="17.85546875" style="5" bestFit="1" customWidth="1"/>
    <col min="24" max="16384" width="9.140625" style="5"/>
  </cols>
  <sheetData>
    <row r="2" spans="2:24" x14ac:dyDescent="0.3">
      <c r="B2" s="231" t="s">
        <v>335</v>
      </c>
      <c r="C2" s="232" t="s">
        <v>336</v>
      </c>
      <c r="E2" s="231" t="s">
        <v>335</v>
      </c>
      <c r="F2" s="233" t="s">
        <v>337</v>
      </c>
      <c r="H2" s="232"/>
      <c r="I2" s="243" t="s">
        <v>338</v>
      </c>
      <c r="J2" s="4"/>
      <c r="K2" s="117" t="s">
        <v>339</v>
      </c>
      <c r="L2" s="116" t="s">
        <v>335</v>
      </c>
      <c r="M2" s="4"/>
      <c r="N2" s="4"/>
      <c r="O2" s="4"/>
      <c r="P2" s="4"/>
      <c r="Q2" s="4"/>
      <c r="R2" s="4"/>
      <c r="S2" s="4"/>
      <c r="T2" s="4"/>
      <c r="X2"/>
    </row>
    <row r="3" spans="2:24" x14ac:dyDescent="0.3">
      <c r="B3" s="237" t="s">
        <v>340</v>
      </c>
      <c r="C3" s="240">
        <v>4.5118695652173937</v>
      </c>
      <c r="E3" s="237" t="s">
        <v>340</v>
      </c>
      <c r="F3" s="234">
        <v>2204.0043478260868</v>
      </c>
      <c r="H3" s="237" t="s">
        <v>340</v>
      </c>
      <c r="I3" s="244"/>
      <c r="J3" s="4"/>
      <c r="K3" s="163"/>
      <c r="L3" s="4" t="s">
        <v>340</v>
      </c>
      <c r="M3" s="4"/>
      <c r="N3" s="4"/>
      <c r="O3" s="4"/>
      <c r="P3" s="4"/>
      <c r="Q3" s="4"/>
      <c r="R3" s="4" t="s">
        <v>341</v>
      </c>
      <c r="S3" s="4"/>
      <c r="T3" s="118" t="s">
        <v>342</v>
      </c>
      <c r="X3"/>
    </row>
    <row r="4" spans="2:24" x14ac:dyDescent="0.3">
      <c r="B4" s="238" t="s">
        <v>343</v>
      </c>
      <c r="C4" s="241">
        <v>12.171428571428573</v>
      </c>
      <c r="E4" s="238" t="s">
        <v>343</v>
      </c>
      <c r="F4" s="235">
        <v>2947.4285714285716</v>
      </c>
      <c r="H4" s="238" t="s">
        <v>343</v>
      </c>
      <c r="I4" s="234">
        <v>41264</v>
      </c>
      <c r="J4" s="4"/>
      <c r="K4" s="116" t="s">
        <v>344</v>
      </c>
      <c r="L4" s="4" t="s">
        <v>343</v>
      </c>
      <c r="M4" s="4" t="s">
        <v>345</v>
      </c>
      <c r="N4" s="4" t="s">
        <v>346</v>
      </c>
      <c r="O4" s="4" t="s">
        <v>347</v>
      </c>
      <c r="P4" s="4" t="s">
        <v>348</v>
      </c>
      <c r="Q4" s="4" t="s">
        <v>349</v>
      </c>
      <c r="R4" s="4" t="s">
        <v>350</v>
      </c>
      <c r="S4" s="4" t="s">
        <v>351</v>
      </c>
      <c r="T4" s="118"/>
      <c r="X4"/>
    </row>
    <row r="5" spans="2:24" x14ac:dyDescent="0.3">
      <c r="B5" s="246" t="s">
        <v>345</v>
      </c>
      <c r="C5" s="241">
        <v>7.4017499999999981</v>
      </c>
      <c r="E5" s="246" t="s">
        <v>345</v>
      </c>
      <c r="F5" s="235">
        <v>2440.35</v>
      </c>
      <c r="H5" s="246" t="s">
        <v>345</v>
      </c>
      <c r="I5" s="235">
        <v>97614</v>
      </c>
      <c r="J5" s="4"/>
      <c r="K5" s="193" t="s">
        <v>5</v>
      </c>
      <c r="L5" s="194">
        <v>6503</v>
      </c>
      <c r="M5" s="194">
        <v>4271</v>
      </c>
      <c r="N5" s="194">
        <v>1895</v>
      </c>
      <c r="O5" s="194">
        <v>7982</v>
      </c>
      <c r="P5" s="194">
        <v>12911</v>
      </c>
      <c r="Q5" s="194">
        <v>3568</v>
      </c>
      <c r="R5" s="194">
        <v>4705</v>
      </c>
      <c r="S5" s="198"/>
      <c r="T5" s="201">
        <v>41835</v>
      </c>
      <c r="X5"/>
    </row>
    <row r="6" spans="2:24" x14ac:dyDescent="0.3">
      <c r="B6" s="246" t="s">
        <v>346</v>
      </c>
      <c r="C6" s="241">
        <v>5.503333333333333</v>
      </c>
      <c r="E6" s="246" t="s">
        <v>346</v>
      </c>
      <c r="F6" s="235">
        <v>1433.3333333333333</v>
      </c>
      <c r="H6" s="246" t="s">
        <v>346</v>
      </c>
      <c r="I6" s="235">
        <v>8600</v>
      </c>
      <c r="J6" s="4"/>
      <c r="K6" s="195" t="s">
        <v>90</v>
      </c>
      <c r="L6" s="186">
        <v>2482</v>
      </c>
      <c r="M6" s="186">
        <v>6348</v>
      </c>
      <c r="N6" s="186">
        <v>3261</v>
      </c>
      <c r="O6" s="186">
        <v>5519</v>
      </c>
      <c r="P6" s="186">
        <v>6611</v>
      </c>
      <c r="Q6" s="186">
        <v>5717</v>
      </c>
      <c r="R6" s="186">
        <v>2755</v>
      </c>
      <c r="S6" s="199"/>
      <c r="T6" s="202">
        <v>32693</v>
      </c>
      <c r="X6"/>
    </row>
    <row r="7" spans="2:24" x14ac:dyDescent="0.3">
      <c r="B7" s="246" t="s">
        <v>347</v>
      </c>
      <c r="C7" s="241">
        <v>3.6052727272727285</v>
      </c>
      <c r="E7" s="246" t="s">
        <v>347</v>
      </c>
      <c r="F7" s="235">
        <v>2069.0727272727272</v>
      </c>
      <c r="H7" s="246" t="s">
        <v>347</v>
      </c>
      <c r="I7" s="235">
        <v>113799</v>
      </c>
      <c r="J7" s="4"/>
      <c r="K7" s="195" t="s">
        <v>38</v>
      </c>
      <c r="L7" s="186">
        <v>4206</v>
      </c>
      <c r="M7" s="186">
        <v>5727</v>
      </c>
      <c r="N7" s="186">
        <v>1480</v>
      </c>
      <c r="O7" s="186">
        <v>4338</v>
      </c>
      <c r="P7" s="186">
        <v>6992</v>
      </c>
      <c r="Q7" s="186">
        <v>4628</v>
      </c>
      <c r="R7" s="186">
        <v>4744</v>
      </c>
      <c r="S7" s="199"/>
      <c r="T7" s="202">
        <v>32115</v>
      </c>
      <c r="X7"/>
    </row>
    <row r="8" spans="2:24" x14ac:dyDescent="0.3">
      <c r="B8" s="246" t="s">
        <v>348</v>
      </c>
      <c r="C8" s="241">
        <v>3.5654054054054027</v>
      </c>
      <c r="E8" s="246" t="s">
        <v>348</v>
      </c>
      <c r="F8" s="235">
        <v>2226.2837837837837</v>
      </c>
      <c r="H8" s="246" t="s">
        <v>348</v>
      </c>
      <c r="I8" s="235">
        <v>164745</v>
      </c>
      <c r="J8" s="4"/>
      <c r="K8" s="195" t="s">
        <v>46</v>
      </c>
      <c r="L8" s="186">
        <v>4987</v>
      </c>
      <c r="M8" s="186">
        <v>5969</v>
      </c>
      <c r="N8" s="186"/>
      <c r="O8" s="186">
        <v>6696</v>
      </c>
      <c r="P8" s="186">
        <v>5670</v>
      </c>
      <c r="Q8" s="186">
        <v>3501</v>
      </c>
      <c r="R8" s="186">
        <v>2167</v>
      </c>
      <c r="S8" s="199"/>
      <c r="T8" s="202">
        <v>28990</v>
      </c>
      <c r="X8"/>
    </row>
    <row r="9" spans="2:24" x14ac:dyDescent="0.3">
      <c r="B9" s="239" t="s">
        <v>349</v>
      </c>
      <c r="C9" s="241">
        <v>1.8563414634146351</v>
      </c>
      <c r="E9" s="239" t="s">
        <v>349</v>
      </c>
      <c r="F9" s="235">
        <v>1973.1463414634147</v>
      </c>
      <c r="H9" s="239" t="s">
        <v>349</v>
      </c>
      <c r="I9" s="236">
        <v>80899</v>
      </c>
      <c r="J9" s="4"/>
      <c r="K9" s="195" t="s">
        <v>71</v>
      </c>
      <c r="L9" s="186"/>
      <c r="M9" s="186">
        <v>6813</v>
      </c>
      <c r="N9" s="186"/>
      <c r="O9" s="186">
        <v>5773</v>
      </c>
      <c r="P9" s="186">
        <v>10484</v>
      </c>
      <c r="Q9" s="186">
        <v>3519</v>
      </c>
      <c r="R9" s="186">
        <v>2096</v>
      </c>
      <c r="S9" s="199"/>
      <c r="T9" s="202">
        <v>28685</v>
      </c>
      <c r="X9"/>
    </row>
    <row r="10" spans="2:24" x14ac:dyDescent="0.3">
      <c r="B10" s="237" t="s">
        <v>341</v>
      </c>
      <c r="C10" s="241">
        <v>1.1236538461538454</v>
      </c>
      <c r="E10" s="237" t="s">
        <v>341</v>
      </c>
      <c r="F10" s="235">
        <v>1768.0384615384614</v>
      </c>
      <c r="H10" s="237" t="s">
        <v>341</v>
      </c>
      <c r="I10" s="244"/>
      <c r="J10" s="4"/>
      <c r="K10" s="195" t="s">
        <v>17</v>
      </c>
      <c r="L10" s="186">
        <v>5531</v>
      </c>
      <c r="M10" s="186">
        <v>5744</v>
      </c>
      <c r="N10" s="186">
        <v>830</v>
      </c>
      <c r="O10" s="186">
        <v>9219</v>
      </c>
      <c r="P10" s="186">
        <v>6650</v>
      </c>
      <c r="Q10" s="186"/>
      <c r="R10" s="186"/>
      <c r="S10" s="199"/>
      <c r="T10" s="202">
        <v>27974</v>
      </c>
      <c r="X10"/>
    </row>
    <row r="11" spans="2:24" x14ac:dyDescent="0.3">
      <c r="B11" s="238" t="s">
        <v>350</v>
      </c>
      <c r="C11" s="241">
        <v>1.1358823529411757</v>
      </c>
      <c r="E11" s="238" t="s">
        <v>350</v>
      </c>
      <c r="F11" s="235">
        <v>1761.5490196078431</v>
      </c>
      <c r="H11" s="238" t="s">
        <v>350</v>
      </c>
      <c r="I11" s="234">
        <v>89839</v>
      </c>
      <c r="J11" s="4"/>
      <c r="K11" s="195" t="s">
        <v>80</v>
      </c>
      <c r="L11" s="186">
        <v>4742</v>
      </c>
      <c r="M11" s="186">
        <v>6354</v>
      </c>
      <c r="N11" s="186"/>
      <c r="O11" s="186">
        <v>3700</v>
      </c>
      <c r="P11" s="186">
        <v>9491</v>
      </c>
      <c r="Q11" s="186">
        <v>3018</v>
      </c>
      <c r="R11" s="186"/>
      <c r="S11" s="199"/>
      <c r="T11" s="202">
        <v>27305</v>
      </c>
      <c r="X11"/>
    </row>
    <row r="12" spans="2:24" x14ac:dyDescent="0.3">
      <c r="B12" s="239" t="s">
        <v>351</v>
      </c>
      <c r="C12" s="242">
        <v>0.5</v>
      </c>
      <c r="E12" s="239" t="s">
        <v>351</v>
      </c>
      <c r="F12" s="236">
        <v>2099</v>
      </c>
      <c r="H12" s="239" t="s">
        <v>351</v>
      </c>
      <c r="I12" s="236">
        <v>2099</v>
      </c>
      <c r="J12" s="4"/>
      <c r="K12" s="195" t="s">
        <v>91</v>
      </c>
      <c r="L12" s="186">
        <v>2054</v>
      </c>
      <c r="M12" s="186">
        <v>6651</v>
      </c>
      <c r="N12" s="186"/>
      <c r="O12" s="186">
        <v>3871</v>
      </c>
      <c r="P12" s="186">
        <v>8883</v>
      </c>
      <c r="Q12" s="186">
        <v>3169</v>
      </c>
      <c r="R12" s="186">
        <v>2349</v>
      </c>
      <c r="S12" s="199"/>
      <c r="T12" s="202">
        <v>26977</v>
      </c>
      <c r="X12"/>
    </row>
    <row r="13" spans="2:24" x14ac:dyDescent="0.3">
      <c r="B13" s="4"/>
      <c r="C13" s="4"/>
      <c r="E13" s="4"/>
      <c r="F13" s="4"/>
      <c r="H13" s="245" t="s">
        <v>342</v>
      </c>
      <c r="I13" s="236">
        <v>598859</v>
      </c>
      <c r="J13" s="4"/>
      <c r="K13" s="195" t="s">
        <v>47</v>
      </c>
      <c r="L13" s="186"/>
      <c r="M13" s="186">
        <v>5227</v>
      </c>
      <c r="N13" s="186"/>
      <c r="O13" s="186">
        <v>4370</v>
      </c>
      <c r="P13" s="186">
        <v>12192</v>
      </c>
      <c r="Q13" s="186">
        <v>4134</v>
      </c>
      <c r="R13" s="186"/>
      <c r="S13" s="199"/>
      <c r="T13" s="202">
        <v>25923</v>
      </c>
      <c r="X13"/>
    </row>
    <row r="14" spans="2:24" x14ac:dyDescent="0.3">
      <c r="B14" s="160" t="s">
        <v>344</v>
      </c>
      <c r="C14" t="s">
        <v>97</v>
      </c>
      <c r="D14"/>
      <c r="E14" s="160" t="s">
        <v>344</v>
      </c>
      <c r="F14" t="s">
        <v>352</v>
      </c>
      <c r="G14"/>
      <c r="H14"/>
      <c r="I14"/>
      <c r="J14" s="4"/>
      <c r="K14" s="195" t="s">
        <v>74</v>
      </c>
      <c r="L14" s="186">
        <v>3190</v>
      </c>
      <c r="M14" s="186">
        <v>5696</v>
      </c>
      <c r="N14" s="186"/>
      <c r="O14" s="186">
        <v>1903</v>
      </c>
      <c r="P14" s="186">
        <v>2737</v>
      </c>
      <c r="Q14" s="186"/>
      <c r="R14" s="186">
        <v>11223</v>
      </c>
      <c r="S14" s="199"/>
      <c r="T14" s="202">
        <v>24749</v>
      </c>
      <c r="X14"/>
    </row>
    <row r="15" spans="2:24" x14ac:dyDescent="0.3">
      <c r="B15" s="187" t="s">
        <v>42</v>
      </c>
      <c r="C15" s="188">
        <v>44608</v>
      </c>
      <c r="D15"/>
      <c r="E15" s="161" t="s">
        <v>5</v>
      </c>
      <c r="F15" s="184">
        <v>41835</v>
      </c>
      <c r="G15"/>
      <c r="H15"/>
      <c r="I15"/>
      <c r="J15" s="4"/>
      <c r="K15" s="195" t="s">
        <v>43</v>
      </c>
      <c r="L15" s="186"/>
      <c r="M15" s="186"/>
      <c r="N15" s="186"/>
      <c r="O15" s="186">
        <v>5339</v>
      </c>
      <c r="P15" s="186">
        <v>8888</v>
      </c>
      <c r="Q15" s="186">
        <v>5199</v>
      </c>
      <c r="R15" s="186">
        <v>4576</v>
      </c>
      <c r="S15" s="199"/>
      <c r="T15" s="202">
        <v>24002</v>
      </c>
      <c r="X15"/>
    </row>
    <row r="16" spans="2:24" x14ac:dyDescent="0.3">
      <c r="B16" s="189" t="s">
        <v>56</v>
      </c>
      <c r="C16" s="190">
        <v>44607</v>
      </c>
      <c r="D16"/>
      <c r="E16" s="161" t="s">
        <v>90</v>
      </c>
      <c r="F16" s="184">
        <v>32693</v>
      </c>
      <c r="G16"/>
      <c r="H16"/>
      <c r="I16"/>
      <c r="J16" s="4"/>
      <c r="K16" s="195" t="s">
        <v>41</v>
      </c>
      <c r="L16" s="186"/>
      <c r="M16" s="186">
        <v>788</v>
      </c>
      <c r="N16" s="186"/>
      <c r="O16" s="186">
        <v>4867</v>
      </c>
      <c r="P16" s="186">
        <v>7435</v>
      </c>
      <c r="Q16" s="186">
        <v>5135</v>
      </c>
      <c r="R16" s="186">
        <v>5485</v>
      </c>
      <c r="S16" s="199"/>
      <c r="T16" s="202">
        <v>23710</v>
      </c>
      <c r="X16"/>
    </row>
    <row r="17" spans="2:24" x14ac:dyDescent="0.3">
      <c r="B17" s="189" t="s">
        <v>7</v>
      </c>
      <c r="C17" s="190">
        <v>44606</v>
      </c>
      <c r="D17"/>
      <c r="E17" s="161" t="s">
        <v>38</v>
      </c>
      <c r="F17" s="184">
        <v>32115</v>
      </c>
      <c r="G17"/>
      <c r="H17"/>
      <c r="I17"/>
      <c r="J17" s="4"/>
      <c r="K17" s="195" t="s">
        <v>11</v>
      </c>
      <c r="L17" s="186">
        <v>5793</v>
      </c>
      <c r="M17" s="186">
        <v>4180</v>
      </c>
      <c r="N17" s="186"/>
      <c r="O17" s="186">
        <v>5819</v>
      </c>
      <c r="P17" s="186">
        <v>6531</v>
      </c>
      <c r="Q17" s="186"/>
      <c r="R17" s="186"/>
      <c r="S17" s="199"/>
      <c r="T17" s="202">
        <v>22323</v>
      </c>
      <c r="X17"/>
    </row>
    <row r="18" spans="2:24" x14ac:dyDescent="0.3">
      <c r="B18" s="189" t="s">
        <v>43</v>
      </c>
      <c r="C18" s="190">
        <v>44605</v>
      </c>
      <c r="D18"/>
      <c r="E18" s="161" t="s">
        <v>46</v>
      </c>
      <c r="F18" s="184">
        <v>28990</v>
      </c>
      <c r="G18"/>
      <c r="H18"/>
      <c r="I18"/>
      <c r="J18" s="4"/>
      <c r="K18" s="195" t="s">
        <v>56</v>
      </c>
      <c r="L18" s="186"/>
      <c r="M18" s="186"/>
      <c r="N18" s="186"/>
      <c r="O18" s="186">
        <v>3616</v>
      </c>
      <c r="P18" s="186">
        <v>9424</v>
      </c>
      <c r="Q18" s="186">
        <v>3633</v>
      </c>
      <c r="R18" s="186">
        <v>2932</v>
      </c>
      <c r="S18" s="199">
        <v>2099</v>
      </c>
      <c r="T18" s="202">
        <v>21704</v>
      </c>
      <c r="X18"/>
    </row>
    <row r="19" spans="2:24" x14ac:dyDescent="0.3">
      <c r="B19" s="189" t="s">
        <v>38</v>
      </c>
      <c r="C19" s="190">
        <v>44605</v>
      </c>
      <c r="D19"/>
      <c r="E19" s="161" t="s">
        <v>71</v>
      </c>
      <c r="F19" s="184">
        <v>28685</v>
      </c>
      <c r="G19"/>
      <c r="H19"/>
      <c r="I19"/>
      <c r="J19" s="4"/>
      <c r="K19" s="195" t="s">
        <v>19</v>
      </c>
      <c r="L19" s="186"/>
      <c r="M19" s="186"/>
      <c r="N19" s="186">
        <v>1134</v>
      </c>
      <c r="O19" s="186">
        <v>6376</v>
      </c>
      <c r="P19" s="186">
        <v>6353</v>
      </c>
      <c r="Q19" s="186">
        <v>2192</v>
      </c>
      <c r="R19" s="186">
        <v>5420</v>
      </c>
      <c r="S19" s="199"/>
      <c r="T19" s="202">
        <v>21475</v>
      </c>
      <c r="V19"/>
      <c r="W19"/>
      <c r="X19"/>
    </row>
    <row r="20" spans="2:24" x14ac:dyDescent="0.3">
      <c r="B20" s="189" t="s">
        <v>19</v>
      </c>
      <c r="C20" s="190">
        <v>44605</v>
      </c>
      <c r="D20"/>
      <c r="E20" s="161" t="s">
        <v>17</v>
      </c>
      <c r="F20" s="184">
        <v>27974</v>
      </c>
      <c r="G20"/>
      <c r="H20"/>
      <c r="I20"/>
      <c r="J20" s="4"/>
      <c r="K20" s="195" t="s">
        <v>92</v>
      </c>
      <c r="L20" s="186"/>
      <c r="M20" s="186">
        <v>6045</v>
      </c>
      <c r="N20" s="186"/>
      <c r="O20" s="186">
        <v>3310</v>
      </c>
      <c r="P20" s="186">
        <v>7903</v>
      </c>
      <c r="Q20" s="186">
        <v>2001</v>
      </c>
      <c r="R20" s="186"/>
      <c r="S20" s="199"/>
      <c r="T20" s="202">
        <v>19259</v>
      </c>
      <c r="V20"/>
      <c r="W20"/>
    </row>
    <row r="21" spans="2:24" x14ac:dyDescent="0.3">
      <c r="B21" s="189" t="s">
        <v>25</v>
      </c>
      <c r="C21" s="190">
        <v>44605</v>
      </c>
      <c r="D21"/>
      <c r="E21" s="161" t="s">
        <v>80</v>
      </c>
      <c r="F21" s="184">
        <v>27305</v>
      </c>
      <c r="G21"/>
      <c r="H21"/>
      <c r="I21"/>
      <c r="J21" s="4"/>
      <c r="K21" s="195" t="s">
        <v>29</v>
      </c>
      <c r="L21" s="186"/>
      <c r="M21" s="186">
        <v>3788</v>
      </c>
      <c r="N21" s="186"/>
      <c r="O21" s="186">
        <v>3512</v>
      </c>
      <c r="P21" s="186">
        <v>6868</v>
      </c>
      <c r="Q21" s="186">
        <v>1416</v>
      </c>
      <c r="R21" s="186">
        <v>1943</v>
      </c>
      <c r="S21" s="199"/>
      <c r="T21" s="202">
        <v>17527</v>
      </c>
      <c r="V21"/>
      <c r="W21"/>
    </row>
    <row r="22" spans="2:24" x14ac:dyDescent="0.3">
      <c r="B22" s="189" t="s">
        <v>52</v>
      </c>
      <c r="C22" s="190">
        <v>44596</v>
      </c>
      <c r="D22"/>
      <c r="E22" s="161" t="s">
        <v>91</v>
      </c>
      <c r="F22" s="184">
        <v>26977</v>
      </c>
      <c r="G22"/>
      <c r="H22"/>
      <c r="I22"/>
      <c r="J22" s="4"/>
      <c r="K22" s="195" t="s">
        <v>36</v>
      </c>
      <c r="L22" s="186"/>
      <c r="M22" s="186">
        <v>989</v>
      </c>
      <c r="N22" s="186"/>
      <c r="O22" s="186">
        <v>6237</v>
      </c>
      <c r="P22" s="186">
        <v>5053</v>
      </c>
      <c r="Q22" s="186">
        <v>4196</v>
      </c>
      <c r="R22" s="186"/>
      <c r="S22" s="199"/>
      <c r="T22" s="202">
        <v>16475</v>
      </c>
      <c r="V22"/>
      <c r="W22"/>
    </row>
    <row r="23" spans="2:24" x14ac:dyDescent="0.3">
      <c r="B23" s="189" t="s">
        <v>74</v>
      </c>
      <c r="C23" s="190">
        <v>44595</v>
      </c>
      <c r="D23"/>
      <c r="E23" s="161" t="s">
        <v>47</v>
      </c>
      <c r="F23" s="184">
        <v>25923</v>
      </c>
      <c r="G23"/>
      <c r="H23"/>
      <c r="I23"/>
      <c r="J23" s="4"/>
      <c r="K23" s="195" t="s">
        <v>28</v>
      </c>
      <c r="L23" s="186"/>
      <c r="M23" s="186"/>
      <c r="N23" s="186"/>
      <c r="O23" s="186">
        <v>3893</v>
      </c>
      <c r="P23" s="186">
        <v>4334</v>
      </c>
      <c r="Q23" s="186">
        <v>3911</v>
      </c>
      <c r="R23" s="186">
        <v>4331</v>
      </c>
      <c r="S23" s="199"/>
      <c r="T23" s="202">
        <v>16469</v>
      </c>
      <c r="V23"/>
      <c r="W23"/>
    </row>
    <row r="24" spans="2:24" x14ac:dyDescent="0.3">
      <c r="B24" s="189" t="s">
        <v>90</v>
      </c>
      <c r="C24" s="190">
        <v>44594</v>
      </c>
      <c r="D24"/>
      <c r="E24" s="161" t="s">
        <v>74</v>
      </c>
      <c r="F24" s="184">
        <v>24749</v>
      </c>
      <c r="G24"/>
      <c r="H24"/>
      <c r="I24"/>
      <c r="J24" s="4"/>
      <c r="K24" s="195" t="s">
        <v>25</v>
      </c>
      <c r="L24" s="186"/>
      <c r="M24" s="186"/>
      <c r="N24" s="186"/>
      <c r="O24" s="186">
        <v>6357</v>
      </c>
      <c r="P24" s="186"/>
      <c r="Q24" s="186">
        <v>5251</v>
      </c>
      <c r="R24" s="186">
        <v>4380</v>
      </c>
      <c r="S24" s="199"/>
      <c r="T24" s="202">
        <v>15988</v>
      </c>
      <c r="V24"/>
      <c r="W24"/>
    </row>
    <row r="25" spans="2:24" x14ac:dyDescent="0.3">
      <c r="B25" s="189" t="s">
        <v>33</v>
      </c>
      <c r="C25" s="190">
        <v>44593</v>
      </c>
      <c r="D25"/>
      <c r="E25" s="161" t="s">
        <v>43</v>
      </c>
      <c r="F25" s="184">
        <v>24002</v>
      </c>
      <c r="G25"/>
      <c r="H25"/>
      <c r="I25"/>
      <c r="J25" s="4"/>
      <c r="K25" s="195" t="s">
        <v>7</v>
      </c>
      <c r="L25" s="186"/>
      <c r="M25" s="186"/>
      <c r="N25" s="186"/>
      <c r="O25" s="186">
        <v>3125</v>
      </c>
      <c r="P25" s="186">
        <v>2255</v>
      </c>
      <c r="Q25" s="186">
        <v>4105</v>
      </c>
      <c r="R25" s="186">
        <v>3275</v>
      </c>
      <c r="S25" s="199"/>
      <c r="T25" s="202">
        <v>12760</v>
      </c>
      <c r="V25"/>
      <c r="W25"/>
    </row>
    <row r="26" spans="2:24" x14ac:dyDescent="0.3">
      <c r="B26" s="189" t="s">
        <v>75</v>
      </c>
      <c r="C26" s="190">
        <v>44593</v>
      </c>
      <c r="D26"/>
      <c r="E26" s="161" t="s">
        <v>41</v>
      </c>
      <c r="F26" s="184">
        <v>23710</v>
      </c>
      <c r="G26"/>
      <c r="H26"/>
      <c r="I26"/>
      <c r="J26" s="4"/>
      <c r="K26" s="195" t="s">
        <v>48</v>
      </c>
      <c r="L26" s="186"/>
      <c r="M26" s="186"/>
      <c r="N26" s="186"/>
      <c r="O26" s="186">
        <v>3531</v>
      </c>
      <c r="P26" s="186">
        <v>3335</v>
      </c>
      <c r="Q26" s="186">
        <v>4585</v>
      </c>
      <c r="R26" s="186">
        <v>914</v>
      </c>
      <c r="S26" s="199"/>
      <c r="T26" s="202">
        <v>12365</v>
      </c>
      <c r="V26"/>
      <c r="W26"/>
    </row>
    <row r="27" spans="2:24" x14ac:dyDescent="0.3">
      <c r="B27" s="189" t="s">
        <v>41</v>
      </c>
      <c r="C27" s="190">
        <v>44593</v>
      </c>
      <c r="D27"/>
      <c r="E27" s="161" t="s">
        <v>11</v>
      </c>
      <c r="F27" s="184">
        <v>22323</v>
      </c>
      <c r="G27"/>
      <c r="H27"/>
      <c r="I27"/>
      <c r="J27" s="4"/>
      <c r="K27" s="195" t="s">
        <v>37</v>
      </c>
      <c r="L27" s="186"/>
      <c r="M27" s="186">
        <v>4776</v>
      </c>
      <c r="N27" s="186"/>
      <c r="O27" s="186"/>
      <c r="P27" s="186">
        <v>5644</v>
      </c>
      <c r="Q27" s="186">
        <v>1505</v>
      </c>
      <c r="R27" s="186"/>
      <c r="S27" s="199"/>
      <c r="T27" s="202">
        <v>11925</v>
      </c>
      <c r="V27"/>
      <c r="W27"/>
    </row>
    <row r="28" spans="2:24" x14ac:dyDescent="0.3">
      <c r="B28" s="189" t="s">
        <v>76</v>
      </c>
      <c r="C28" s="190">
        <v>44592</v>
      </c>
      <c r="D28"/>
      <c r="E28" s="161" t="s">
        <v>56</v>
      </c>
      <c r="F28" s="184">
        <v>21704</v>
      </c>
      <c r="G28"/>
      <c r="H28"/>
      <c r="I28"/>
      <c r="J28" s="4"/>
      <c r="K28" s="195" t="s">
        <v>72</v>
      </c>
      <c r="L28" s="186"/>
      <c r="M28" s="186"/>
      <c r="N28" s="186"/>
      <c r="O28" s="186">
        <v>3456</v>
      </c>
      <c r="P28" s="186">
        <v>3986</v>
      </c>
      <c r="Q28" s="186"/>
      <c r="R28" s="186"/>
      <c r="S28" s="199"/>
      <c r="T28" s="202">
        <v>7442</v>
      </c>
      <c r="V28"/>
      <c r="W28"/>
    </row>
    <row r="29" spans="2:24" x14ac:dyDescent="0.3">
      <c r="B29" s="189" t="s">
        <v>46</v>
      </c>
      <c r="C29" s="190">
        <v>44592</v>
      </c>
      <c r="D29"/>
      <c r="E29" s="161" t="s">
        <v>19</v>
      </c>
      <c r="F29" s="184">
        <v>21475</v>
      </c>
      <c r="G29"/>
      <c r="H29"/>
      <c r="I29"/>
      <c r="J29" s="4"/>
      <c r="K29" s="195" t="s">
        <v>33</v>
      </c>
      <c r="L29" s="186"/>
      <c r="M29" s="186"/>
      <c r="N29" s="186"/>
      <c r="O29" s="186"/>
      <c r="P29" s="186"/>
      <c r="Q29" s="186">
        <v>3143</v>
      </c>
      <c r="R29" s="186">
        <v>3350</v>
      </c>
      <c r="S29" s="199"/>
      <c r="T29" s="202">
        <v>6493</v>
      </c>
      <c r="V29"/>
      <c r="W29"/>
    </row>
    <row r="30" spans="2:24" x14ac:dyDescent="0.3">
      <c r="B30" s="189" t="s">
        <v>32</v>
      </c>
      <c r="C30" s="190">
        <v>44592</v>
      </c>
      <c r="D30"/>
      <c r="E30" s="161" t="s">
        <v>342</v>
      </c>
      <c r="F30" s="184">
        <v>410460</v>
      </c>
      <c r="G30"/>
      <c r="H30"/>
      <c r="I30"/>
      <c r="J30" s="4"/>
      <c r="K30" s="195" t="s">
        <v>18</v>
      </c>
      <c r="L30" s="186"/>
      <c r="M30" s="186">
        <v>6040</v>
      </c>
      <c r="N30" s="186"/>
      <c r="O30" s="186"/>
      <c r="P30" s="186"/>
      <c r="Q30" s="186"/>
      <c r="R30" s="186"/>
      <c r="S30" s="199"/>
      <c r="T30" s="202">
        <v>6040</v>
      </c>
      <c r="V30"/>
      <c r="W30"/>
    </row>
    <row r="31" spans="2:24" x14ac:dyDescent="0.3">
      <c r="B31" s="189" t="s">
        <v>93</v>
      </c>
      <c r="C31" s="190">
        <v>44592</v>
      </c>
      <c r="D31"/>
      <c r="E31"/>
      <c r="F31"/>
      <c r="G31"/>
      <c r="H31"/>
      <c r="I31"/>
      <c r="J31" s="4"/>
      <c r="K31" s="195" t="s">
        <v>12</v>
      </c>
      <c r="L31" s="186">
        <v>1776</v>
      </c>
      <c r="M31" s="186">
        <v>3716</v>
      </c>
      <c r="N31" s="186"/>
      <c r="O31" s="186"/>
      <c r="P31" s="186"/>
      <c r="Q31" s="186"/>
      <c r="R31" s="186"/>
      <c r="S31" s="199"/>
      <c r="T31" s="202">
        <v>5492</v>
      </c>
      <c r="V31"/>
      <c r="W31"/>
    </row>
    <row r="32" spans="2:24" x14ac:dyDescent="0.3">
      <c r="B32" s="189" t="s">
        <v>31</v>
      </c>
      <c r="C32" s="190">
        <v>44592</v>
      </c>
      <c r="D32"/>
      <c r="E32"/>
      <c r="F32"/>
      <c r="G32"/>
      <c r="H32"/>
      <c r="I32"/>
      <c r="J32" s="4"/>
      <c r="K32" s="195" t="s">
        <v>70</v>
      </c>
      <c r="L32" s="186"/>
      <c r="M32" s="186"/>
      <c r="N32" s="186"/>
      <c r="O32" s="186"/>
      <c r="P32" s="186">
        <v>1267</v>
      </c>
      <c r="Q32" s="186">
        <v>1422</v>
      </c>
      <c r="R32" s="186">
        <v>2430</v>
      </c>
      <c r="S32" s="199"/>
      <c r="T32" s="202">
        <v>5119</v>
      </c>
      <c r="V32"/>
      <c r="W32"/>
    </row>
    <row r="33" spans="2:23" x14ac:dyDescent="0.3">
      <c r="B33" s="189" t="s">
        <v>70</v>
      </c>
      <c r="C33" s="190">
        <v>44591</v>
      </c>
      <c r="D33"/>
      <c r="E33"/>
      <c r="F33"/>
      <c r="G33"/>
      <c r="H33"/>
      <c r="I33"/>
      <c r="J33" s="4"/>
      <c r="K33" s="195" t="s">
        <v>6</v>
      </c>
      <c r="L33" s="186"/>
      <c r="M33" s="186">
        <v>4487</v>
      </c>
      <c r="N33" s="186"/>
      <c r="O33" s="186"/>
      <c r="P33" s="186"/>
      <c r="Q33" s="186"/>
      <c r="R33" s="186"/>
      <c r="S33" s="199"/>
      <c r="T33" s="202">
        <v>4487</v>
      </c>
      <c r="V33"/>
      <c r="W33"/>
    </row>
    <row r="34" spans="2:23" x14ac:dyDescent="0.3">
      <c r="B34" s="189" t="s">
        <v>62</v>
      </c>
      <c r="C34" s="190">
        <v>44591</v>
      </c>
      <c r="D34"/>
      <c r="E34"/>
      <c r="F34"/>
      <c r="G34"/>
      <c r="H34"/>
      <c r="I34"/>
      <c r="J34" s="4"/>
      <c r="K34" s="195" t="s">
        <v>63</v>
      </c>
      <c r="L34" s="186"/>
      <c r="M34" s="186">
        <v>3033</v>
      </c>
      <c r="N34" s="186"/>
      <c r="O34" s="186"/>
      <c r="P34" s="186"/>
      <c r="Q34" s="186"/>
      <c r="R34" s="186"/>
      <c r="S34" s="199"/>
      <c r="T34" s="202">
        <v>3033</v>
      </c>
      <c r="V34"/>
      <c r="W34"/>
    </row>
    <row r="35" spans="2:23" x14ac:dyDescent="0.3">
      <c r="B35" s="189" t="s">
        <v>55</v>
      </c>
      <c r="C35" s="190">
        <v>44591</v>
      </c>
      <c r="D35"/>
      <c r="E35"/>
      <c r="F35"/>
      <c r="G35"/>
      <c r="H35"/>
      <c r="I35"/>
      <c r="J35" s="4"/>
      <c r="K35" s="195" t="s">
        <v>52</v>
      </c>
      <c r="L35" s="186"/>
      <c r="M35" s="186"/>
      <c r="N35" s="186"/>
      <c r="O35" s="186"/>
      <c r="P35" s="186"/>
      <c r="Q35" s="186">
        <v>239</v>
      </c>
      <c r="R35" s="186">
        <v>2696</v>
      </c>
      <c r="S35" s="199"/>
      <c r="T35" s="202">
        <v>2935</v>
      </c>
      <c r="V35"/>
      <c r="W35"/>
    </row>
    <row r="36" spans="2:23" x14ac:dyDescent="0.3">
      <c r="B36" s="189" t="s">
        <v>23</v>
      </c>
      <c r="C36" s="190">
        <v>44591</v>
      </c>
      <c r="D36"/>
      <c r="E36"/>
      <c r="F36"/>
      <c r="G36"/>
      <c r="H36"/>
      <c r="I36"/>
      <c r="J36" s="4"/>
      <c r="K36" s="195" t="s">
        <v>42</v>
      </c>
      <c r="L36" s="186"/>
      <c r="M36" s="186"/>
      <c r="N36" s="186"/>
      <c r="O36" s="186"/>
      <c r="P36" s="186"/>
      <c r="Q36" s="186"/>
      <c r="R36" s="186">
        <v>2923</v>
      </c>
      <c r="S36" s="199"/>
      <c r="T36" s="202">
        <v>2923</v>
      </c>
      <c r="V36"/>
      <c r="W36"/>
    </row>
    <row r="37" spans="2:23" x14ac:dyDescent="0.3">
      <c r="B37" s="189" t="s">
        <v>79</v>
      </c>
      <c r="C37" s="190">
        <v>44590</v>
      </c>
      <c r="D37"/>
      <c r="E37"/>
      <c r="F37"/>
      <c r="G37"/>
      <c r="H37"/>
      <c r="I37"/>
      <c r="J37" s="4"/>
      <c r="K37" s="195" t="s">
        <v>62</v>
      </c>
      <c r="L37" s="186"/>
      <c r="M37" s="186"/>
      <c r="N37" s="186"/>
      <c r="O37" s="186"/>
      <c r="P37" s="186"/>
      <c r="Q37" s="186"/>
      <c r="R37" s="186">
        <v>2713</v>
      </c>
      <c r="S37" s="199"/>
      <c r="T37" s="202">
        <v>2713</v>
      </c>
      <c r="V37"/>
      <c r="W37"/>
    </row>
    <row r="38" spans="2:23" x14ac:dyDescent="0.3">
      <c r="B38" s="189" t="s">
        <v>28</v>
      </c>
      <c r="C38" s="190">
        <v>44590</v>
      </c>
      <c r="D38"/>
      <c r="E38"/>
      <c r="F38"/>
      <c r="G38"/>
      <c r="H38"/>
      <c r="I38"/>
      <c r="J38" s="4"/>
      <c r="K38" s="195" t="s">
        <v>51</v>
      </c>
      <c r="L38" s="186"/>
      <c r="M38" s="186"/>
      <c r="N38" s="186"/>
      <c r="O38" s="186"/>
      <c r="P38" s="186"/>
      <c r="Q38" s="186"/>
      <c r="R38" s="186">
        <v>2713</v>
      </c>
      <c r="S38" s="199"/>
      <c r="T38" s="202">
        <v>2713</v>
      </c>
      <c r="V38"/>
      <c r="W38"/>
    </row>
    <row r="39" spans="2:23" x14ac:dyDescent="0.3">
      <c r="B39" s="189" t="s">
        <v>71</v>
      </c>
      <c r="C39" s="190">
        <v>44590</v>
      </c>
      <c r="D39"/>
      <c r="E39"/>
      <c r="F39"/>
      <c r="G39"/>
      <c r="H39"/>
      <c r="I39"/>
      <c r="J39" s="4"/>
      <c r="K39" s="195" t="s">
        <v>79</v>
      </c>
      <c r="L39" s="186"/>
      <c r="M39" s="186"/>
      <c r="N39" s="186"/>
      <c r="O39" s="186"/>
      <c r="P39" s="186"/>
      <c r="Q39" s="186"/>
      <c r="R39" s="186">
        <v>2508</v>
      </c>
      <c r="S39" s="199"/>
      <c r="T39" s="202">
        <v>2508</v>
      </c>
      <c r="V39"/>
      <c r="W39"/>
    </row>
    <row r="40" spans="2:23" x14ac:dyDescent="0.3">
      <c r="B40" s="189" t="s">
        <v>91</v>
      </c>
      <c r="C40" s="190">
        <v>44590</v>
      </c>
      <c r="D40"/>
      <c r="E40"/>
      <c r="F40"/>
      <c r="G40"/>
      <c r="H40"/>
      <c r="I40"/>
      <c r="J40" s="4"/>
      <c r="K40" s="195" t="s">
        <v>57</v>
      </c>
      <c r="L40" s="186"/>
      <c r="M40" s="186"/>
      <c r="N40" s="186"/>
      <c r="O40" s="186">
        <v>240</v>
      </c>
      <c r="P40" s="186">
        <v>2209</v>
      </c>
      <c r="Q40" s="186"/>
      <c r="R40" s="186"/>
      <c r="S40" s="199"/>
      <c r="T40" s="202">
        <v>2449</v>
      </c>
      <c r="V40"/>
      <c r="W40"/>
    </row>
    <row r="41" spans="2:23" x14ac:dyDescent="0.3">
      <c r="B41" s="189" t="s">
        <v>78</v>
      </c>
      <c r="C41" s="190">
        <v>44590</v>
      </c>
      <c r="D41"/>
      <c r="E41"/>
      <c r="F41"/>
      <c r="G41"/>
      <c r="H41"/>
      <c r="I41"/>
      <c r="J41" s="4"/>
      <c r="K41" s="195" t="s">
        <v>75</v>
      </c>
      <c r="L41" s="186"/>
      <c r="M41" s="186"/>
      <c r="N41" s="186"/>
      <c r="O41" s="186"/>
      <c r="P41" s="186"/>
      <c r="Q41" s="186"/>
      <c r="R41" s="186">
        <v>2146</v>
      </c>
      <c r="S41" s="199"/>
      <c r="T41" s="202">
        <v>2146</v>
      </c>
      <c r="V41"/>
      <c r="W41"/>
    </row>
    <row r="42" spans="2:23" x14ac:dyDescent="0.3">
      <c r="B42" s="189" t="s">
        <v>51</v>
      </c>
      <c r="C42" s="190">
        <v>44589</v>
      </c>
      <c r="D42"/>
      <c r="E42"/>
      <c r="F42"/>
      <c r="G42"/>
      <c r="H42"/>
      <c r="I42"/>
      <c r="J42" s="4"/>
      <c r="K42" s="195" t="s">
        <v>78</v>
      </c>
      <c r="L42" s="186"/>
      <c r="M42" s="186"/>
      <c r="N42" s="186"/>
      <c r="O42" s="186"/>
      <c r="P42" s="186"/>
      <c r="Q42" s="186"/>
      <c r="R42" s="186">
        <v>2141</v>
      </c>
      <c r="S42" s="199"/>
      <c r="T42" s="202">
        <v>2141</v>
      </c>
      <c r="V42"/>
      <c r="W42"/>
    </row>
    <row r="43" spans="2:23" x14ac:dyDescent="0.3">
      <c r="B43" s="189" t="s">
        <v>29</v>
      </c>
      <c r="C43" s="190">
        <v>44589</v>
      </c>
      <c r="D43"/>
      <c r="E43"/>
      <c r="F43"/>
      <c r="G43"/>
      <c r="H43"/>
      <c r="I43"/>
      <c r="J43" s="4"/>
      <c r="K43" s="195" t="s">
        <v>23</v>
      </c>
      <c r="L43" s="186"/>
      <c r="M43" s="186"/>
      <c r="N43" s="186"/>
      <c r="O43" s="186"/>
      <c r="P43" s="186"/>
      <c r="Q43" s="186"/>
      <c r="R43" s="186">
        <v>1342</v>
      </c>
      <c r="S43" s="199"/>
      <c r="T43" s="202">
        <v>1342</v>
      </c>
      <c r="V43"/>
      <c r="W43"/>
    </row>
    <row r="44" spans="2:23" x14ac:dyDescent="0.3">
      <c r="B44" s="189" t="s">
        <v>5</v>
      </c>
      <c r="C44" s="190">
        <v>44589</v>
      </c>
      <c r="D44"/>
      <c r="E44"/>
      <c r="F44"/>
      <c r="G44"/>
      <c r="H44"/>
      <c r="I44"/>
      <c r="J44" s="4"/>
      <c r="K44" s="195" t="s">
        <v>27</v>
      </c>
      <c r="L44" s="186"/>
      <c r="M44" s="186">
        <v>972</v>
      </c>
      <c r="N44" s="186"/>
      <c r="O44" s="186"/>
      <c r="P44" s="186"/>
      <c r="Q44" s="186"/>
      <c r="R44" s="186"/>
      <c r="S44" s="199"/>
      <c r="T44" s="202">
        <v>972</v>
      </c>
      <c r="V44"/>
      <c r="W44"/>
    </row>
    <row r="45" spans="2:23" x14ac:dyDescent="0.3">
      <c r="B45" s="189" t="s">
        <v>48</v>
      </c>
      <c r="C45" s="190">
        <v>44578</v>
      </c>
      <c r="D45"/>
      <c r="E45"/>
      <c r="F45"/>
      <c r="G45"/>
      <c r="H45"/>
      <c r="I45"/>
      <c r="J45" s="4"/>
      <c r="K45" s="195" t="s">
        <v>64</v>
      </c>
      <c r="L45" s="186"/>
      <c r="M45" s="186"/>
      <c r="N45" s="186"/>
      <c r="O45" s="186"/>
      <c r="P45" s="186"/>
      <c r="Q45" s="186">
        <v>877</v>
      </c>
      <c r="R45" s="186"/>
      <c r="S45" s="199"/>
      <c r="T45" s="202">
        <v>877</v>
      </c>
      <c r="V45"/>
      <c r="W45"/>
    </row>
    <row r="46" spans="2:23" x14ac:dyDescent="0.3">
      <c r="B46" s="189" t="s">
        <v>64</v>
      </c>
      <c r="C46" s="190">
        <v>44565</v>
      </c>
      <c r="D46"/>
      <c r="E46"/>
      <c r="F46"/>
      <c r="G46"/>
      <c r="H46"/>
      <c r="I46"/>
      <c r="J46" s="4"/>
      <c r="K46" s="195" t="s">
        <v>24</v>
      </c>
      <c r="L46" s="186"/>
      <c r="M46" s="186"/>
      <c r="N46" s="186"/>
      <c r="O46" s="186"/>
      <c r="P46" s="186"/>
      <c r="Q46" s="186">
        <v>835</v>
      </c>
      <c r="R46" s="186"/>
      <c r="S46" s="199"/>
      <c r="T46" s="202">
        <v>835</v>
      </c>
      <c r="V46"/>
      <c r="W46"/>
    </row>
    <row r="47" spans="2:23" x14ac:dyDescent="0.3">
      <c r="B47" s="189" t="s">
        <v>37</v>
      </c>
      <c r="C47" s="190">
        <v>44565</v>
      </c>
      <c r="D47"/>
      <c r="E47"/>
      <c r="F47"/>
      <c r="G47"/>
      <c r="H47"/>
      <c r="I47"/>
      <c r="J47" s="4"/>
      <c r="K47" s="195" t="s">
        <v>13</v>
      </c>
      <c r="L47" s="186"/>
      <c r="M47" s="186"/>
      <c r="N47" s="186"/>
      <c r="O47" s="186">
        <v>750</v>
      </c>
      <c r="P47" s="186"/>
      <c r="Q47" s="186"/>
      <c r="R47" s="186"/>
      <c r="S47" s="199"/>
      <c r="T47" s="202">
        <v>750</v>
      </c>
      <c r="V47"/>
      <c r="W47"/>
    </row>
    <row r="48" spans="2:23" x14ac:dyDescent="0.3">
      <c r="B48" s="189" t="s">
        <v>47</v>
      </c>
      <c r="C48" s="190">
        <v>44564</v>
      </c>
      <c r="D48"/>
      <c r="E48"/>
      <c r="F48"/>
      <c r="G48"/>
      <c r="H48"/>
      <c r="I48"/>
      <c r="J48" s="4"/>
      <c r="K48" s="195" t="s">
        <v>53</v>
      </c>
      <c r="L48" s="186"/>
      <c r="M48" s="186"/>
      <c r="N48" s="186"/>
      <c r="O48" s="186"/>
      <c r="P48" s="186">
        <v>639</v>
      </c>
      <c r="Q48" s="186"/>
      <c r="R48" s="186"/>
      <c r="S48" s="199"/>
      <c r="T48" s="202">
        <v>639</v>
      </c>
      <c r="V48"/>
      <c r="W48"/>
    </row>
    <row r="49" spans="2:23" x14ac:dyDescent="0.3">
      <c r="B49" s="189" t="s">
        <v>80</v>
      </c>
      <c r="C49" s="190">
        <v>44563</v>
      </c>
      <c r="D49"/>
      <c r="E49"/>
      <c r="F49"/>
      <c r="G49"/>
      <c r="H49"/>
      <c r="I49"/>
      <c r="J49" s="4"/>
      <c r="K49" s="195" t="s">
        <v>31</v>
      </c>
      <c r="L49" s="186"/>
      <c r="M49" s="186"/>
      <c r="N49" s="186"/>
      <c r="O49" s="186"/>
      <c r="P49" s="186"/>
      <c r="Q49" s="186"/>
      <c r="R49" s="186">
        <v>601</v>
      </c>
      <c r="S49" s="199"/>
      <c r="T49" s="202">
        <v>601</v>
      </c>
      <c r="V49"/>
      <c r="W49"/>
    </row>
    <row r="50" spans="2:23" x14ac:dyDescent="0.3">
      <c r="B50" s="189" t="s">
        <v>36</v>
      </c>
      <c r="C50" s="190">
        <v>44559</v>
      </c>
      <c r="D50"/>
      <c r="E50"/>
      <c r="F50"/>
      <c r="G50"/>
      <c r="H50"/>
      <c r="I50"/>
      <c r="J50" s="4"/>
      <c r="K50" s="195" t="s">
        <v>55</v>
      </c>
      <c r="L50" s="186"/>
      <c r="M50" s="186"/>
      <c r="N50" s="186"/>
      <c r="O50" s="186"/>
      <c r="P50" s="186"/>
      <c r="Q50" s="186"/>
      <c r="R50" s="186">
        <v>477</v>
      </c>
      <c r="S50" s="199"/>
      <c r="T50" s="202">
        <v>477</v>
      </c>
      <c r="V50"/>
      <c r="W50"/>
    </row>
    <row r="51" spans="2:23" x14ac:dyDescent="0.3">
      <c r="B51" s="189" t="s">
        <v>72</v>
      </c>
      <c r="C51" s="190">
        <v>44551</v>
      </c>
      <c r="D51"/>
      <c r="E51"/>
      <c r="F51"/>
      <c r="G51"/>
      <c r="H51"/>
      <c r="I51"/>
      <c r="J51" s="4"/>
      <c r="K51" s="195" t="s">
        <v>76</v>
      </c>
      <c r="L51" s="186"/>
      <c r="M51" s="186"/>
      <c r="N51" s="186"/>
      <c r="O51" s="186"/>
      <c r="P51" s="186"/>
      <c r="Q51" s="186"/>
      <c r="R51" s="186">
        <v>286</v>
      </c>
      <c r="S51" s="199"/>
      <c r="T51" s="202">
        <v>286</v>
      </c>
      <c r="V51"/>
      <c r="W51"/>
    </row>
    <row r="52" spans="2:23" x14ac:dyDescent="0.3">
      <c r="B52" s="189" t="s">
        <v>24</v>
      </c>
      <c r="C52" s="190">
        <v>44549</v>
      </c>
      <c r="D52"/>
      <c r="E52"/>
      <c r="F52"/>
      <c r="G52"/>
      <c r="H52"/>
      <c r="I52"/>
      <c r="J52" s="4"/>
      <c r="K52" s="195" t="s">
        <v>32</v>
      </c>
      <c r="L52" s="186"/>
      <c r="M52" s="186"/>
      <c r="N52" s="186"/>
      <c r="O52" s="186"/>
      <c r="P52" s="186"/>
      <c r="Q52" s="186"/>
      <c r="R52" s="186">
        <v>141</v>
      </c>
      <c r="S52" s="199"/>
      <c r="T52" s="202">
        <v>141</v>
      </c>
      <c r="V52"/>
      <c r="W52"/>
    </row>
    <row r="53" spans="2:23" x14ac:dyDescent="0.3">
      <c r="B53" s="189" t="s">
        <v>92</v>
      </c>
      <c r="C53" s="190">
        <v>44549</v>
      </c>
      <c r="D53"/>
      <c r="E53"/>
      <c r="F53"/>
      <c r="G53"/>
      <c r="H53"/>
      <c r="I53"/>
      <c r="J53" s="4"/>
      <c r="K53" s="196" t="s">
        <v>93</v>
      </c>
      <c r="L53" s="197"/>
      <c r="M53" s="197"/>
      <c r="N53" s="197"/>
      <c r="O53" s="197"/>
      <c r="P53" s="197"/>
      <c r="Q53" s="197"/>
      <c r="R53" s="197">
        <v>77</v>
      </c>
      <c r="S53" s="200"/>
      <c r="T53" s="203">
        <v>77</v>
      </c>
      <c r="V53"/>
      <c r="W53"/>
    </row>
    <row r="54" spans="2:23" x14ac:dyDescent="0.3">
      <c r="B54" s="189" t="s">
        <v>11</v>
      </c>
      <c r="C54" s="190">
        <v>44544</v>
      </c>
      <c r="D54"/>
      <c r="E54"/>
      <c r="F54"/>
      <c r="G54"/>
      <c r="H54"/>
      <c r="I54"/>
      <c r="J54" s="4"/>
      <c r="K54" s="162" t="s">
        <v>342</v>
      </c>
      <c r="L54" s="164">
        <v>41264</v>
      </c>
      <c r="M54" s="165">
        <v>97614</v>
      </c>
      <c r="N54" s="165">
        <v>8600</v>
      </c>
      <c r="O54" s="165">
        <v>113799</v>
      </c>
      <c r="P54" s="165">
        <v>164745</v>
      </c>
      <c r="Q54" s="165">
        <v>80899</v>
      </c>
      <c r="R54" s="165">
        <v>89839</v>
      </c>
      <c r="S54" s="165">
        <v>2099</v>
      </c>
      <c r="T54" s="166">
        <v>598859</v>
      </c>
    </row>
    <row r="55" spans="2:23" x14ac:dyDescent="0.3">
      <c r="B55" s="189" t="s">
        <v>17</v>
      </c>
      <c r="C55" s="190">
        <v>44543</v>
      </c>
      <c r="D55"/>
      <c r="E55"/>
      <c r="F55"/>
      <c r="G55"/>
      <c r="H55"/>
      <c r="I55"/>
      <c r="J55" s="4"/>
      <c r="K55" s="4"/>
      <c r="L55" s="4"/>
      <c r="M55" s="4"/>
      <c r="N55" s="4"/>
      <c r="O55" s="4"/>
      <c r="P55" s="4"/>
      <c r="Q55" s="4"/>
    </row>
    <row r="56" spans="2:23" x14ac:dyDescent="0.3">
      <c r="B56" s="189" t="s">
        <v>57</v>
      </c>
      <c r="C56" s="190">
        <v>44540</v>
      </c>
      <c r="D56"/>
      <c r="E56"/>
      <c r="F56"/>
      <c r="G56"/>
      <c r="H56"/>
      <c r="I56"/>
      <c r="J56" s="4"/>
      <c r="K56" s="4"/>
      <c r="L56" s="4"/>
      <c r="M56" s="4"/>
      <c r="N56" s="4"/>
      <c r="O56" s="4"/>
      <c r="P56" s="4"/>
      <c r="Q56" s="4"/>
      <c r="R56" s="4"/>
      <c r="S56" s="4"/>
      <c r="T56" s="4"/>
      <c r="U56" s="4"/>
    </row>
    <row r="57" spans="2:23" x14ac:dyDescent="0.3">
      <c r="B57" s="189" t="s">
        <v>53</v>
      </c>
      <c r="C57" s="190">
        <v>44529</v>
      </c>
      <c r="D57"/>
      <c r="E57"/>
      <c r="F57"/>
      <c r="G57"/>
      <c r="H57"/>
      <c r="I57"/>
      <c r="J57" s="4"/>
      <c r="K57" s="4"/>
      <c r="L57" s="4"/>
      <c r="M57" s="4"/>
      <c r="N57" s="4"/>
      <c r="O57" s="4"/>
      <c r="P57" s="4"/>
      <c r="Q57" s="4"/>
      <c r="R57" s="4"/>
      <c r="S57" s="4"/>
      <c r="T57" s="4"/>
      <c r="U57" s="4"/>
    </row>
    <row r="58" spans="2:23" x14ac:dyDescent="0.3">
      <c r="B58" s="189" t="s">
        <v>13</v>
      </c>
      <c r="C58" s="190">
        <v>44511</v>
      </c>
      <c r="D58"/>
      <c r="E58"/>
      <c r="F58"/>
      <c r="G58"/>
      <c r="H58"/>
      <c r="I58"/>
      <c r="J58" s="4"/>
      <c r="K58" s="4"/>
      <c r="L58" s="4"/>
      <c r="M58" s="4"/>
      <c r="N58" s="4"/>
      <c r="O58" s="4"/>
      <c r="P58" s="4"/>
      <c r="Q58" s="4"/>
    </row>
    <row r="59" spans="2:23" x14ac:dyDescent="0.3">
      <c r="B59" s="189" t="s">
        <v>18</v>
      </c>
      <c r="C59" s="190">
        <v>44467</v>
      </c>
      <c r="D59"/>
      <c r="E59"/>
      <c r="F59"/>
      <c r="G59"/>
      <c r="H59"/>
      <c r="I59"/>
      <c r="J59" s="4"/>
      <c r="K59" s="4"/>
      <c r="L59" s="4"/>
      <c r="M59" s="4"/>
      <c r="N59" s="4"/>
      <c r="O59" s="4"/>
      <c r="P59" s="4"/>
      <c r="Q59" s="4"/>
    </row>
    <row r="60" spans="2:23" x14ac:dyDescent="0.3">
      <c r="B60" s="189" t="s">
        <v>27</v>
      </c>
      <c r="C60" s="190">
        <v>44465</v>
      </c>
      <c r="D60"/>
      <c r="E60"/>
      <c r="F60"/>
      <c r="G60"/>
      <c r="H60"/>
      <c r="I60"/>
      <c r="J60" s="4"/>
      <c r="K60" s="4"/>
      <c r="L60" s="4"/>
      <c r="M60" s="4"/>
      <c r="N60" s="4"/>
      <c r="O60" s="4"/>
      <c r="P60" s="4"/>
      <c r="Q60" s="4"/>
    </row>
    <row r="61" spans="2:23" x14ac:dyDescent="0.3">
      <c r="B61" s="189" t="s">
        <v>6</v>
      </c>
      <c r="C61" s="190">
        <v>44451</v>
      </c>
      <c r="D61"/>
      <c r="E61"/>
      <c r="F61"/>
      <c r="G61"/>
      <c r="H61"/>
      <c r="I61"/>
      <c r="J61" s="4"/>
      <c r="K61" s="4"/>
      <c r="L61" s="4"/>
      <c r="M61" s="4"/>
      <c r="N61" s="4"/>
      <c r="O61" s="4"/>
      <c r="P61" s="4"/>
      <c r="Q61" s="4"/>
    </row>
    <row r="62" spans="2:23" x14ac:dyDescent="0.3">
      <c r="B62" s="189" t="s">
        <v>12</v>
      </c>
      <c r="C62" s="190">
        <v>44451</v>
      </c>
      <c r="D62"/>
      <c r="E62"/>
      <c r="F62"/>
      <c r="G62"/>
      <c r="H62"/>
      <c r="I62"/>
      <c r="J62" s="4"/>
      <c r="K62" s="4"/>
      <c r="L62" s="4"/>
      <c r="M62" s="4"/>
      <c r="N62" s="4"/>
      <c r="O62" s="4"/>
      <c r="P62" s="4"/>
      <c r="Q62" s="4"/>
    </row>
    <row r="63" spans="2:23" x14ac:dyDescent="0.3">
      <c r="B63" s="191" t="s">
        <v>63</v>
      </c>
      <c r="C63" s="192">
        <v>44440</v>
      </c>
      <c r="D63"/>
      <c r="E63"/>
      <c r="F63"/>
      <c r="G63"/>
      <c r="H63"/>
      <c r="I63"/>
      <c r="J63" s="4"/>
      <c r="K63" s="4"/>
      <c r="L63" s="4"/>
      <c r="M63" s="4"/>
      <c r="N63" s="4"/>
      <c r="O63" s="4"/>
      <c r="P63" s="4"/>
      <c r="Q63" s="4"/>
    </row>
    <row r="64" spans="2:23" x14ac:dyDescent="0.3">
      <c r="B64"/>
      <c r="C64"/>
      <c r="D64"/>
      <c r="E64"/>
      <c r="F64"/>
      <c r="G64"/>
      <c r="H64"/>
      <c r="I64"/>
      <c r="J64" s="4"/>
      <c r="K64" s="4"/>
      <c r="L64" s="4"/>
      <c r="M64" s="4"/>
      <c r="N64" s="4"/>
      <c r="O64" s="4"/>
      <c r="P64" s="4"/>
      <c r="Q64" s="4"/>
    </row>
    <row r="65" spans="2:17" x14ac:dyDescent="0.3">
      <c r="B65"/>
      <c r="C65"/>
      <c r="D65"/>
      <c r="E65"/>
      <c r="F65"/>
      <c r="G65"/>
      <c r="H65"/>
      <c r="I65"/>
      <c r="J65" s="4"/>
      <c r="K65" s="4"/>
      <c r="L65" s="4"/>
      <c r="M65" s="4"/>
      <c r="N65" s="4"/>
      <c r="O65" s="4"/>
      <c r="P65" s="4"/>
      <c r="Q65" s="4"/>
    </row>
    <row r="66" spans="2:17" x14ac:dyDescent="0.3">
      <c r="B66"/>
      <c r="C66"/>
      <c r="D66"/>
      <c r="E66"/>
      <c r="F66"/>
      <c r="G66"/>
      <c r="H66"/>
      <c r="I66"/>
      <c r="J66" s="4"/>
      <c r="K66" s="4"/>
      <c r="L66" s="4"/>
      <c r="M66" s="4"/>
      <c r="N66" s="4"/>
      <c r="O66" s="4"/>
      <c r="P66" s="4"/>
      <c r="Q66" s="4"/>
    </row>
    <row r="67" spans="2:17" x14ac:dyDescent="0.3">
      <c r="B67"/>
      <c r="C67"/>
      <c r="H67" s="4"/>
      <c r="I67" s="4"/>
      <c r="J67" s="4"/>
      <c r="K67" s="4"/>
      <c r="L67" s="4"/>
      <c r="M67" s="4"/>
      <c r="N67" s="4"/>
      <c r="O67" s="4"/>
      <c r="P67" s="4"/>
      <c r="Q67" s="4"/>
    </row>
    <row r="68" spans="2:17" x14ac:dyDescent="0.3">
      <c r="B68"/>
      <c r="C68"/>
      <c r="H68" s="4"/>
      <c r="I68" s="4"/>
      <c r="J68" s="4"/>
      <c r="K68" s="4"/>
      <c r="L68" s="4"/>
      <c r="M68" s="4"/>
      <c r="N68" s="4"/>
      <c r="O68" s="4"/>
      <c r="P68" s="4"/>
      <c r="Q68" s="4"/>
    </row>
    <row r="69" spans="2:17" x14ac:dyDescent="0.3">
      <c r="B69"/>
      <c r="C69"/>
      <c r="H69" s="4"/>
      <c r="I69" s="4"/>
      <c r="J69" s="4"/>
      <c r="K69" s="4"/>
      <c r="L69" s="4"/>
      <c r="M69" s="4"/>
      <c r="N69" s="4"/>
      <c r="O69" s="4"/>
      <c r="P69" s="4"/>
      <c r="Q69" s="4"/>
    </row>
    <row r="70" spans="2:17" x14ac:dyDescent="0.3">
      <c r="B70"/>
      <c r="C70"/>
      <c r="H70" s="4"/>
      <c r="I70" s="4"/>
      <c r="J70" s="4"/>
      <c r="K70" s="4"/>
      <c r="L70" s="4"/>
      <c r="M70" s="4"/>
      <c r="N70" s="4"/>
      <c r="O70" s="4"/>
      <c r="P70" s="4"/>
      <c r="Q70" s="4"/>
    </row>
    <row r="71" spans="2:17" x14ac:dyDescent="0.3">
      <c r="B71"/>
      <c r="C71"/>
      <c r="H71" s="4"/>
      <c r="I71" s="4"/>
      <c r="J71" s="4"/>
      <c r="K71" s="4"/>
      <c r="L71" s="4"/>
      <c r="M71" s="4"/>
      <c r="N71" s="4"/>
      <c r="O71" s="4"/>
      <c r="P71" s="4"/>
      <c r="Q71" s="4"/>
    </row>
    <row r="72" spans="2:17" x14ac:dyDescent="0.3">
      <c r="B72"/>
      <c r="C72"/>
      <c r="H72" s="4"/>
      <c r="I72" s="4"/>
      <c r="J72" s="4"/>
      <c r="K72" s="4"/>
      <c r="L72" s="4"/>
      <c r="M72" s="4"/>
      <c r="N72" s="4"/>
      <c r="O72" s="4"/>
      <c r="P72" s="4"/>
      <c r="Q72" s="4"/>
    </row>
    <row r="73" spans="2:17" x14ac:dyDescent="0.3">
      <c r="B73"/>
      <c r="C73"/>
      <c r="H73" s="4"/>
      <c r="I73" s="4"/>
      <c r="J73" s="4"/>
      <c r="K73" s="4"/>
      <c r="L73" s="4"/>
      <c r="M73" s="4"/>
      <c r="N73" s="4"/>
      <c r="O73" s="4"/>
      <c r="P73" s="4"/>
      <c r="Q73" s="4"/>
    </row>
    <row r="74" spans="2:17" x14ac:dyDescent="0.3">
      <c r="B74"/>
      <c r="C74"/>
      <c r="H74" s="4"/>
      <c r="I74" s="4"/>
      <c r="J74" s="4"/>
      <c r="K74" s="4"/>
      <c r="L74" s="4"/>
      <c r="M74" s="4"/>
      <c r="N74" s="4"/>
      <c r="O74" s="4"/>
      <c r="P74" s="4"/>
      <c r="Q74" s="4"/>
    </row>
    <row r="75" spans="2:17" x14ac:dyDescent="0.3">
      <c r="B75"/>
      <c r="C75"/>
      <c r="H75" s="4"/>
      <c r="I75" s="4"/>
      <c r="J75" s="4"/>
      <c r="K75" s="4"/>
      <c r="L75" s="4"/>
      <c r="M75" s="4"/>
      <c r="N75" s="4"/>
      <c r="O75" s="4"/>
      <c r="P75" s="4"/>
      <c r="Q75" s="4"/>
    </row>
    <row r="76" spans="2:17" x14ac:dyDescent="0.3">
      <c r="B76"/>
      <c r="C76"/>
      <c r="H76" s="4"/>
      <c r="I76" s="4"/>
      <c r="J76" s="4"/>
      <c r="K76" s="4"/>
      <c r="L76" s="4"/>
      <c r="M76" s="4"/>
      <c r="N76" s="4"/>
      <c r="O76" s="4"/>
      <c r="P76" s="4"/>
      <c r="Q76" s="4"/>
    </row>
    <row r="77" spans="2:17" x14ac:dyDescent="0.3">
      <c r="B77"/>
      <c r="C77"/>
      <c r="H77" s="4"/>
      <c r="I77" s="4"/>
      <c r="J77" s="4"/>
      <c r="K77" s="4"/>
      <c r="L77" s="4"/>
      <c r="M77" s="4"/>
      <c r="N77" s="4"/>
      <c r="O77" s="4"/>
      <c r="P77" s="4"/>
      <c r="Q77" s="4"/>
    </row>
    <row r="78" spans="2:17" x14ac:dyDescent="0.3">
      <c r="B78"/>
      <c r="C78"/>
      <c r="H78" s="4"/>
      <c r="I78" s="4"/>
      <c r="J78" s="4"/>
      <c r="K78" s="4"/>
      <c r="L78" s="4"/>
      <c r="M78" s="4"/>
      <c r="N78" s="4"/>
      <c r="O78" s="4"/>
      <c r="P78" s="4"/>
      <c r="Q78" s="4"/>
    </row>
    <row r="79" spans="2:17" x14ac:dyDescent="0.3">
      <c r="B79"/>
      <c r="C79"/>
      <c r="H79" s="4"/>
      <c r="I79" s="4"/>
      <c r="J79" s="4"/>
      <c r="K79" s="4"/>
      <c r="L79" s="4"/>
      <c r="M79" s="4"/>
      <c r="N79" s="4"/>
      <c r="O79" s="4"/>
      <c r="P79" s="4"/>
      <c r="Q79" s="4"/>
    </row>
    <row r="80" spans="2:17" x14ac:dyDescent="0.3">
      <c r="B80"/>
      <c r="C80"/>
      <c r="H80" s="4"/>
      <c r="I80" s="4"/>
      <c r="J80" s="4"/>
      <c r="K80" s="4"/>
      <c r="L80" s="4"/>
      <c r="M80" s="4"/>
      <c r="N80" s="4"/>
      <c r="O80" s="4"/>
      <c r="P80" s="4"/>
      <c r="Q80" s="4"/>
    </row>
    <row r="81" spans="2:17" x14ac:dyDescent="0.3">
      <c r="B81"/>
      <c r="C81"/>
      <c r="H81" s="4"/>
      <c r="I81" s="4"/>
      <c r="J81" s="4"/>
      <c r="K81" s="4"/>
      <c r="L81" s="4"/>
      <c r="M81" s="4"/>
      <c r="N81" s="4"/>
      <c r="O81" s="4"/>
      <c r="P81" s="4"/>
      <c r="Q81" s="4"/>
    </row>
    <row r="82" spans="2:17" x14ac:dyDescent="0.3">
      <c r="B82"/>
      <c r="C82"/>
      <c r="H82" s="4"/>
      <c r="I82" s="4"/>
      <c r="J82" s="4"/>
      <c r="K82" s="4"/>
      <c r="L82" s="4"/>
      <c r="M82" s="4"/>
      <c r="N82" s="4"/>
      <c r="O82" s="4"/>
      <c r="P82" s="4"/>
      <c r="Q82" s="4"/>
    </row>
    <row r="83" spans="2:17" x14ac:dyDescent="0.3">
      <c r="B83"/>
      <c r="C83"/>
      <c r="H83" s="4"/>
      <c r="I83" s="4"/>
      <c r="J83" s="4"/>
      <c r="K83" s="4"/>
      <c r="L83" s="4"/>
      <c r="M83" s="4"/>
      <c r="N83" s="4"/>
      <c r="O83" s="4"/>
      <c r="P83" s="4"/>
      <c r="Q83" s="4"/>
    </row>
    <row r="84" spans="2:17" x14ac:dyDescent="0.3">
      <c r="B84"/>
      <c r="C84"/>
      <c r="H84" s="4"/>
      <c r="I84" s="4"/>
      <c r="J84" s="4"/>
      <c r="K84" s="4"/>
      <c r="L84" s="4"/>
      <c r="M84" s="4"/>
      <c r="N84" s="4"/>
      <c r="O84" s="4"/>
      <c r="P84" s="4"/>
      <c r="Q84" s="4"/>
    </row>
    <row r="85" spans="2:17" x14ac:dyDescent="0.3">
      <c r="B85"/>
      <c r="C85"/>
      <c r="H85" s="4"/>
      <c r="I85" s="4"/>
      <c r="J85" s="4"/>
      <c r="K85" s="4"/>
      <c r="L85" s="4"/>
      <c r="M85" s="4"/>
      <c r="N85" s="4"/>
      <c r="O85" s="4"/>
      <c r="P85" s="4"/>
      <c r="Q85" s="4"/>
    </row>
    <row r="86" spans="2:17" x14ac:dyDescent="0.3">
      <c r="B86"/>
      <c r="C86"/>
      <c r="H86" s="4"/>
      <c r="I86" s="4"/>
      <c r="J86" s="4"/>
      <c r="K86" s="4"/>
      <c r="L86" s="4"/>
      <c r="M86" s="4"/>
      <c r="N86" s="4"/>
      <c r="O86" s="4"/>
      <c r="P86" s="4"/>
      <c r="Q86" s="4"/>
    </row>
    <row r="87" spans="2:17" x14ac:dyDescent="0.3">
      <c r="B87"/>
      <c r="C87"/>
      <c r="H87" s="4"/>
      <c r="I87" s="4"/>
      <c r="J87" s="4"/>
      <c r="K87" s="4"/>
      <c r="L87" s="4"/>
      <c r="M87" s="4"/>
      <c r="N87" s="4"/>
      <c r="O87" s="4"/>
      <c r="P87" s="4"/>
      <c r="Q87" s="4"/>
    </row>
    <row r="88" spans="2:17" x14ac:dyDescent="0.3">
      <c r="B88"/>
      <c r="C88"/>
      <c r="H88" s="4"/>
      <c r="I88" s="4"/>
      <c r="J88" s="4"/>
      <c r="K88" s="4"/>
      <c r="L88" s="4"/>
      <c r="M88" s="4"/>
      <c r="N88" s="4"/>
      <c r="O88" s="4"/>
      <c r="P88" s="4"/>
      <c r="Q88" s="4"/>
    </row>
    <row r="89" spans="2:17" x14ac:dyDescent="0.3">
      <c r="B89"/>
      <c r="C89"/>
      <c r="H89" s="4"/>
      <c r="I89" s="4"/>
      <c r="J89" s="4"/>
      <c r="K89" s="4"/>
      <c r="L89" s="4"/>
      <c r="M89" s="4"/>
      <c r="N89" s="4"/>
      <c r="O89" s="4"/>
      <c r="P89" s="4"/>
      <c r="Q89" s="4"/>
    </row>
    <row r="90" spans="2:17" x14ac:dyDescent="0.3">
      <c r="B90"/>
      <c r="C90"/>
      <c r="H90" s="4"/>
      <c r="I90" s="4"/>
      <c r="J90" s="4"/>
      <c r="K90" s="4"/>
      <c r="L90" s="4"/>
      <c r="M90" s="4"/>
      <c r="N90" s="4"/>
      <c r="O90" s="4"/>
      <c r="P90" s="4"/>
      <c r="Q90" s="4"/>
    </row>
    <row r="91" spans="2:17" x14ac:dyDescent="0.3">
      <c r="B91"/>
      <c r="C91"/>
      <c r="H91" s="4"/>
      <c r="I91" s="4"/>
      <c r="J91" s="4"/>
      <c r="K91" s="4"/>
      <c r="L91" s="4"/>
      <c r="M91" s="4"/>
      <c r="N91" s="4"/>
      <c r="O91" s="4"/>
      <c r="P91" s="4"/>
      <c r="Q91" s="4"/>
    </row>
    <row r="92" spans="2:17" x14ac:dyDescent="0.3">
      <c r="B92"/>
      <c r="C92"/>
      <c r="H92" s="4"/>
      <c r="I92" s="4"/>
      <c r="J92" s="4"/>
      <c r="K92" s="4"/>
      <c r="L92" s="4"/>
      <c r="M92" s="4"/>
      <c r="N92" s="4"/>
      <c r="O92" s="4"/>
      <c r="P92" s="4"/>
      <c r="Q92" s="4"/>
    </row>
    <row r="93" spans="2:17" x14ac:dyDescent="0.3">
      <c r="B93"/>
      <c r="C93"/>
      <c r="H93" s="4"/>
      <c r="I93" s="4"/>
      <c r="J93" s="4"/>
      <c r="K93" s="4"/>
      <c r="L93" s="4"/>
      <c r="M93" s="4"/>
      <c r="N93" s="4"/>
      <c r="O93" s="4"/>
      <c r="P93" s="4"/>
      <c r="Q93" s="4"/>
    </row>
    <row r="94" spans="2:17" x14ac:dyDescent="0.3">
      <c r="B94"/>
      <c r="C94"/>
      <c r="H94" s="4"/>
      <c r="I94" s="4"/>
      <c r="J94" s="4"/>
      <c r="K94" s="4"/>
      <c r="L94" s="4"/>
      <c r="M94" s="4"/>
      <c r="N94" s="4"/>
      <c r="O94" s="4"/>
      <c r="P94" s="4"/>
      <c r="Q94" s="4"/>
    </row>
    <row r="95" spans="2:17" x14ac:dyDescent="0.3">
      <c r="B95"/>
      <c r="C95"/>
      <c r="H95" s="4"/>
      <c r="I95" s="4"/>
      <c r="J95" s="4"/>
      <c r="K95" s="4"/>
      <c r="L95" s="4"/>
      <c r="M95" s="4"/>
      <c r="N95" s="4"/>
      <c r="O95" s="4"/>
      <c r="P95" s="4"/>
      <c r="Q95" s="4"/>
    </row>
    <row r="96" spans="2:17" x14ac:dyDescent="0.3">
      <c r="B96"/>
      <c r="C96"/>
      <c r="H96" s="4"/>
      <c r="I96" s="4"/>
      <c r="J96" s="4"/>
      <c r="K96" s="4"/>
      <c r="L96" s="4"/>
      <c r="M96" s="4"/>
      <c r="N96" s="4"/>
      <c r="O96" s="4"/>
      <c r="P96" s="4"/>
      <c r="Q96" s="4"/>
    </row>
    <row r="97" spans="2:17" x14ac:dyDescent="0.3">
      <c r="B97"/>
      <c r="C97"/>
      <c r="H97" s="4"/>
      <c r="I97" s="4"/>
      <c r="J97" s="4"/>
      <c r="K97" s="4"/>
      <c r="L97" s="4"/>
      <c r="M97" s="4"/>
      <c r="N97" s="4"/>
      <c r="O97" s="4"/>
      <c r="P97" s="4"/>
      <c r="Q97" s="4"/>
    </row>
    <row r="98" spans="2:17" x14ac:dyDescent="0.3">
      <c r="B98"/>
      <c r="C98"/>
      <c r="H98" s="4"/>
      <c r="I98" s="4"/>
      <c r="J98" s="4"/>
      <c r="K98" s="4"/>
      <c r="L98" s="4"/>
      <c r="M98" s="4"/>
      <c r="N98" s="4"/>
      <c r="O98" s="4"/>
      <c r="P98" s="4"/>
      <c r="Q98" s="4"/>
    </row>
    <row r="99" spans="2:17" x14ac:dyDescent="0.3">
      <c r="B99"/>
      <c r="C99"/>
      <c r="H99" s="4"/>
      <c r="I99" s="4"/>
      <c r="J99" s="4"/>
      <c r="K99" s="4"/>
      <c r="L99" s="4"/>
      <c r="M99" s="4"/>
      <c r="N99" s="4"/>
      <c r="O99" s="4"/>
      <c r="P99" s="4"/>
      <c r="Q99" s="4"/>
    </row>
    <row r="100" spans="2:17" x14ac:dyDescent="0.3">
      <c r="B100"/>
      <c r="C100"/>
      <c r="H100" s="4"/>
      <c r="I100" s="4"/>
      <c r="J100" s="4"/>
      <c r="K100" s="4"/>
      <c r="L100" s="4"/>
      <c r="M100" s="4"/>
      <c r="N100" s="4"/>
      <c r="O100" s="4"/>
      <c r="P100" s="4"/>
      <c r="Q100" s="4"/>
    </row>
    <row r="101" spans="2:17" x14ac:dyDescent="0.3">
      <c r="B101"/>
      <c r="C101"/>
      <c r="H101" s="4"/>
      <c r="I101" s="4"/>
      <c r="J101" s="4"/>
      <c r="K101" s="4"/>
      <c r="L101" s="4"/>
      <c r="M101" s="4"/>
      <c r="N101" s="4"/>
      <c r="O101" s="4"/>
      <c r="P101" s="4"/>
      <c r="Q101" s="4"/>
    </row>
    <row r="102" spans="2:17" x14ac:dyDescent="0.3">
      <c r="B102"/>
      <c r="C102"/>
      <c r="H102" s="4"/>
      <c r="I102" s="4"/>
      <c r="J102" s="4"/>
      <c r="K102" s="4"/>
      <c r="L102" s="4"/>
      <c r="M102" s="4"/>
      <c r="N102" s="4"/>
      <c r="O102" s="4"/>
      <c r="P102" s="4"/>
      <c r="Q102" s="4"/>
    </row>
    <row r="103" spans="2:17" x14ac:dyDescent="0.3">
      <c r="B103"/>
      <c r="C103"/>
      <c r="H103" s="4"/>
      <c r="I103" s="4"/>
      <c r="J103" s="4"/>
      <c r="K103" s="4"/>
      <c r="L103" s="4"/>
      <c r="M103" s="4"/>
      <c r="N103" s="4"/>
      <c r="O103" s="4"/>
      <c r="P103" s="4"/>
      <c r="Q103" s="4"/>
    </row>
    <row r="104" spans="2:17" x14ac:dyDescent="0.3">
      <c r="B104"/>
      <c r="C104"/>
      <c r="H104" s="4"/>
      <c r="I104" s="4"/>
      <c r="J104" s="4"/>
      <c r="K104" s="4"/>
      <c r="L104" s="4"/>
      <c r="M104" s="4"/>
      <c r="N104" s="4"/>
      <c r="O104" s="4"/>
      <c r="P104" s="4"/>
      <c r="Q104" s="4"/>
    </row>
    <row r="105" spans="2:17" x14ac:dyDescent="0.3">
      <c r="B105"/>
      <c r="C105"/>
      <c r="H105" s="4"/>
      <c r="I105" s="4"/>
      <c r="J105" s="4"/>
      <c r="K105" s="4"/>
      <c r="L105" s="4"/>
      <c r="M105" s="4"/>
      <c r="N105" s="4"/>
      <c r="O105" s="4"/>
      <c r="P105" s="4"/>
      <c r="Q105" s="4"/>
    </row>
    <row r="106" spans="2:17" x14ac:dyDescent="0.3">
      <c r="B106"/>
      <c r="C106"/>
      <c r="H106" s="4"/>
      <c r="I106" s="4"/>
      <c r="J106" s="4"/>
      <c r="K106" s="4"/>
      <c r="L106" s="4"/>
      <c r="M106" s="4"/>
      <c r="N106" s="4"/>
      <c r="O106" s="4"/>
      <c r="P106" s="4"/>
      <c r="Q106" s="4"/>
    </row>
    <row r="107" spans="2:17" x14ac:dyDescent="0.3">
      <c r="B107"/>
      <c r="C107"/>
      <c r="H107" s="4"/>
      <c r="I107" s="4"/>
      <c r="J107" s="4"/>
      <c r="K107" s="4"/>
      <c r="L107" s="4"/>
      <c r="M107" s="4"/>
      <c r="N107" s="4"/>
      <c r="O107" s="4"/>
      <c r="P107" s="4"/>
      <c r="Q107" s="4"/>
    </row>
    <row r="108" spans="2:17" x14ac:dyDescent="0.3">
      <c r="B108"/>
      <c r="C108"/>
      <c r="H108" s="4"/>
      <c r="I108" s="4"/>
      <c r="J108" s="4"/>
      <c r="K108" s="4"/>
      <c r="L108" s="4"/>
      <c r="M108" s="4"/>
      <c r="N108" s="4"/>
      <c r="O108" s="4"/>
      <c r="P108" s="4"/>
      <c r="Q108" s="4"/>
    </row>
    <row r="109" spans="2:17" x14ac:dyDescent="0.3">
      <c r="B109"/>
      <c r="C109"/>
      <c r="H109" s="4"/>
      <c r="I109" s="4"/>
      <c r="J109" s="4"/>
      <c r="K109" s="4"/>
      <c r="L109" s="4"/>
      <c r="M109" s="4"/>
      <c r="N109" s="4"/>
      <c r="O109" s="4"/>
      <c r="P109" s="4"/>
      <c r="Q109" s="4"/>
    </row>
    <row r="110" spans="2:17" x14ac:dyDescent="0.3">
      <c r="B110"/>
      <c r="C110"/>
      <c r="H110" s="4"/>
      <c r="I110" s="4"/>
      <c r="J110" s="4"/>
      <c r="K110" s="4"/>
      <c r="L110" s="4"/>
      <c r="M110" s="4"/>
      <c r="N110" s="4"/>
      <c r="O110" s="4"/>
      <c r="P110" s="4"/>
      <c r="Q110" s="4"/>
    </row>
    <row r="111" spans="2:17" x14ac:dyDescent="0.3">
      <c r="B111"/>
      <c r="C111"/>
      <c r="H111" s="4"/>
      <c r="I111" s="4"/>
      <c r="J111" s="4"/>
      <c r="K111" s="4"/>
      <c r="L111" s="4"/>
      <c r="M111" s="4"/>
      <c r="N111" s="4"/>
      <c r="O111" s="4"/>
      <c r="P111" s="4"/>
      <c r="Q111" s="4"/>
    </row>
    <row r="112" spans="2:17" x14ac:dyDescent="0.3">
      <c r="B112"/>
      <c r="C112"/>
      <c r="H112" s="4"/>
      <c r="I112" s="4"/>
      <c r="J112" s="4"/>
      <c r="K112" s="4"/>
      <c r="L112" s="4"/>
      <c r="M112" s="4"/>
      <c r="N112" s="4"/>
      <c r="O112" s="4"/>
      <c r="P112" s="4"/>
      <c r="Q112" s="4"/>
    </row>
    <row r="113" spans="2:17" x14ac:dyDescent="0.3">
      <c r="B113"/>
      <c r="C113"/>
      <c r="H113" s="4"/>
      <c r="I113" s="4"/>
      <c r="J113" s="4"/>
      <c r="K113" s="4"/>
      <c r="L113" s="4"/>
      <c r="M113" s="4"/>
      <c r="N113" s="4"/>
      <c r="O113" s="4"/>
      <c r="P113" s="4"/>
      <c r="Q113" s="4"/>
    </row>
    <row r="114" spans="2:17" x14ac:dyDescent="0.3">
      <c r="B114"/>
      <c r="C114"/>
      <c r="H114" s="4"/>
      <c r="I114" s="4"/>
      <c r="J114" s="4"/>
      <c r="K114" s="4"/>
      <c r="L114" s="4"/>
      <c r="M114" s="4"/>
      <c r="N114" s="4"/>
      <c r="O114" s="4"/>
      <c r="P114" s="4"/>
      <c r="Q114" s="4"/>
    </row>
    <row r="115" spans="2:17" x14ac:dyDescent="0.3">
      <c r="B115"/>
      <c r="C115"/>
      <c r="H115" s="4"/>
      <c r="I115" s="4"/>
      <c r="J115" s="4"/>
      <c r="K115" s="4"/>
      <c r="L115" s="4"/>
      <c r="M115" s="4"/>
      <c r="N115" s="4"/>
      <c r="O115" s="4"/>
      <c r="P115" s="4"/>
      <c r="Q115" s="4"/>
    </row>
    <row r="116" spans="2:17" x14ac:dyDescent="0.3">
      <c r="B116"/>
      <c r="H116" s="4"/>
      <c r="I116" s="4"/>
      <c r="J116" s="4"/>
      <c r="K116" s="4"/>
      <c r="L116" s="4"/>
      <c r="M116" s="4"/>
      <c r="N116" s="4"/>
      <c r="O116" s="4"/>
      <c r="P116" s="4"/>
      <c r="Q116" s="4"/>
    </row>
    <row r="117" spans="2:17" x14ac:dyDescent="0.3">
      <c r="B117"/>
      <c r="H117" s="4"/>
      <c r="I117" s="4"/>
      <c r="J117" s="4"/>
      <c r="K117" s="4"/>
      <c r="L117" s="4"/>
      <c r="M117" s="4"/>
      <c r="N117" s="4"/>
      <c r="O117" s="4"/>
      <c r="P117" s="4"/>
      <c r="Q117" s="4"/>
    </row>
    <row r="118" spans="2:17" x14ac:dyDescent="0.3">
      <c r="B118"/>
      <c r="H118" s="4"/>
      <c r="I118" s="4"/>
      <c r="J118" s="4"/>
      <c r="K118" s="4"/>
      <c r="L118" s="4"/>
      <c r="M118" s="4"/>
      <c r="N118" s="4"/>
      <c r="O118" s="4"/>
      <c r="P118" s="4"/>
      <c r="Q118" s="4"/>
    </row>
    <row r="119" spans="2:17" x14ac:dyDescent="0.3">
      <c r="B119"/>
      <c r="H119" s="4"/>
      <c r="I119" s="4"/>
      <c r="J119" s="4"/>
      <c r="K119" s="4"/>
      <c r="L119" s="4"/>
      <c r="M119" s="4"/>
      <c r="N119" s="4"/>
      <c r="O119" s="4"/>
      <c r="P119" s="4"/>
      <c r="Q119" s="4"/>
    </row>
    <row r="120" spans="2:17" x14ac:dyDescent="0.3">
      <c r="B120"/>
      <c r="H120" s="4"/>
      <c r="I120" s="4"/>
      <c r="J120" s="4"/>
      <c r="K120" s="4"/>
      <c r="L120" s="4"/>
      <c r="M120" s="4"/>
      <c r="N120" s="4"/>
      <c r="O120" s="4"/>
      <c r="P120" s="4"/>
      <c r="Q120" s="4"/>
    </row>
    <row r="121" spans="2:17" x14ac:dyDescent="0.3">
      <c r="B121"/>
      <c r="H121" s="4"/>
      <c r="I121" s="4"/>
      <c r="J121" s="4"/>
      <c r="K121" s="4"/>
      <c r="L121" s="4"/>
      <c r="M121" s="4"/>
      <c r="N121" s="4"/>
      <c r="O121" s="4"/>
      <c r="P121" s="4"/>
      <c r="Q121" s="4"/>
    </row>
    <row r="122" spans="2:17" x14ac:dyDescent="0.3">
      <c r="B122"/>
      <c r="H122" s="4"/>
      <c r="I122" s="4"/>
      <c r="K122" s="4"/>
      <c r="L122" s="4"/>
      <c r="M122" s="4"/>
      <c r="N122" s="4"/>
      <c r="O122" s="4"/>
    </row>
    <row r="123" spans="2:17" x14ac:dyDescent="0.3">
      <c r="B123"/>
      <c r="H123" s="4"/>
      <c r="I123" s="4"/>
      <c r="K123" s="4"/>
      <c r="L123" s="4"/>
      <c r="M123" s="4"/>
      <c r="N123" s="4"/>
      <c r="O123" s="4"/>
    </row>
    <row r="124" spans="2:17" x14ac:dyDescent="0.3">
      <c r="B124"/>
      <c r="H124" s="4"/>
      <c r="I124" s="4"/>
      <c r="K124" s="4"/>
      <c r="L124" s="4"/>
      <c r="M124" s="4"/>
      <c r="N124" s="4"/>
      <c r="O124" s="4"/>
    </row>
    <row r="125" spans="2:17" x14ac:dyDescent="0.3">
      <c r="B125"/>
      <c r="H125" s="4"/>
      <c r="I125" s="4"/>
      <c r="K125" s="4"/>
      <c r="L125" s="4"/>
      <c r="M125" s="4"/>
      <c r="N125" s="4"/>
      <c r="O125" s="4"/>
    </row>
    <row r="126" spans="2:17" x14ac:dyDescent="0.3">
      <c r="B126"/>
      <c r="H126" s="4"/>
      <c r="I126" s="4"/>
      <c r="K126" s="4"/>
      <c r="L126" s="4"/>
      <c r="M126" s="4"/>
      <c r="N126" s="4"/>
      <c r="O126" s="4"/>
    </row>
    <row r="127" spans="2:17" x14ac:dyDescent="0.3">
      <c r="B127"/>
      <c r="H127" s="4"/>
      <c r="I127" s="4"/>
      <c r="K127" s="4"/>
      <c r="L127" s="4"/>
      <c r="M127" s="4"/>
      <c r="N127" s="4"/>
      <c r="O127" s="4"/>
    </row>
    <row r="128" spans="2:17" x14ac:dyDescent="0.3">
      <c r="B128"/>
      <c r="H128" s="4"/>
      <c r="I128" s="4"/>
      <c r="K128" s="4"/>
      <c r="L128" s="4"/>
      <c r="M128" s="4"/>
      <c r="N128" s="4"/>
      <c r="O128" s="4"/>
    </row>
    <row r="129" spans="2:15" x14ac:dyDescent="0.3">
      <c r="B129"/>
      <c r="H129" s="4"/>
      <c r="I129" s="4"/>
      <c r="K129" s="4"/>
      <c r="L129" s="4"/>
      <c r="M129" s="4"/>
      <c r="N129" s="4"/>
      <c r="O129" s="4"/>
    </row>
    <row r="130" spans="2:15" x14ac:dyDescent="0.3">
      <c r="B130"/>
      <c r="H130" s="4"/>
      <c r="I130" s="4"/>
      <c r="K130" s="4"/>
      <c r="L130" s="4"/>
      <c r="M130" s="4"/>
      <c r="N130" s="4"/>
      <c r="O130" s="4"/>
    </row>
    <row r="131" spans="2:15" x14ac:dyDescent="0.3">
      <c r="B131"/>
      <c r="H131" s="4"/>
      <c r="I131" s="4"/>
      <c r="K131" s="4"/>
      <c r="L131" s="4"/>
      <c r="M131" s="4"/>
      <c r="N131" s="4"/>
      <c r="O131" s="4"/>
    </row>
    <row r="132" spans="2:15" x14ac:dyDescent="0.3">
      <c r="B132"/>
      <c r="H132" s="4"/>
      <c r="I132" s="4"/>
      <c r="K132" s="4"/>
      <c r="L132" s="4"/>
      <c r="M132" s="4"/>
      <c r="N132" s="4"/>
      <c r="O132" s="4"/>
    </row>
    <row r="133" spans="2:15" x14ac:dyDescent="0.3">
      <c r="B133"/>
      <c r="H133" s="4"/>
      <c r="I133" s="4"/>
      <c r="K133" s="4"/>
      <c r="L133" s="4"/>
      <c r="M133" s="4"/>
      <c r="N133" s="4"/>
      <c r="O133" s="4"/>
    </row>
    <row r="134" spans="2:15" x14ac:dyDescent="0.3">
      <c r="B134"/>
      <c r="H134" s="4"/>
      <c r="I134" s="4"/>
      <c r="K134" s="4"/>
      <c r="L134" s="4"/>
      <c r="M134" s="4"/>
      <c r="N134" s="4"/>
      <c r="O134" s="4"/>
    </row>
    <row r="135" spans="2:15" x14ac:dyDescent="0.3">
      <c r="B135"/>
      <c r="H135" s="4"/>
      <c r="I135" s="4"/>
      <c r="K135" s="4"/>
      <c r="L135" s="4"/>
      <c r="M135" s="4"/>
      <c r="N135" s="4"/>
      <c r="O135" s="4"/>
    </row>
    <row r="136" spans="2:15" x14ac:dyDescent="0.3">
      <c r="B136"/>
      <c r="H136" s="4"/>
      <c r="I136" s="4"/>
      <c r="K136" s="4"/>
      <c r="L136" s="4"/>
      <c r="M136" s="4"/>
      <c r="N136" s="4"/>
      <c r="O136" s="4"/>
    </row>
    <row r="137" spans="2:15" x14ac:dyDescent="0.3">
      <c r="B137"/>
      <c r="H137" s="4"/>
      <c r="I137" s="4"/>
      <c r="K137" s="4"/>
      <c r="L137" s="4"/>
      <c r="M137" s="4"/>
      <c r="N137" s="4"/>
      <c r="O137" s="4"/>
    </row>
    <row r="138" spans="2:15" x14ac:dyDescent="0.3">
      <c r="B138"/>
      <c r="H138" s="4"/>
      <c r="I138" s="4"/>
      <c r="K138" s="4"/>
      <c r="L138" s="4"/>
      <c r="M138" s="4"/>
      <c r="N138" s="4"/>
      <c r="O138" s="4"/>
    </row>
    <row r="139" spans="2:15" x14ac:dyDescent="0.3">
      <c r="B139"/>
      <c r="H139" s="4"/>
      <c r="I139" s="4"/>
      <c r="K139" s="4"/>
      <c r="L139" s="4"/>
      <c r="M139" s="4"/>
      <c r="N139" s="4"/>
      <c r="O139" s="4"/>
    </row>
    <row r="140" spans="2:15" x14ac:dyDescent="0.3">
      <c r="B140"/>
      <c r="H140" s="4"/>
      <c r="I140" s="4"/>
      <c r="K140" s="4"/>
      <c r="L140" s="4"/>
      <c r="M140" s="4"/>
      <c r="N140" s="4"/>
      <c r="O140" s="4"/>
    </row>
    <row r="141" spans="2:15" x14ac:dyDescent="0.3">
      <c r="B141"/>
      <c r="H141" s="4"/>
      <c r="I141" s="4"/>
      <c r="K141" s="4"/>
      <c r="L141" s="4"/>
      <c r="M141" s="4"/>
      <c r="N141" s="4"/>
      <c r="O141" s="4"/>
    </row>
    <row r="142" spans="2:15" x14ac:dyDescent="0.3">
      <c r="B142"/>
      <c r="H142" s="4"/>
      <c r="I142" s="4"/>
      <c r="K142" s="4"/>
      <c r="L142" s="4"/>
      <c r="M142" s="4"/>
      <c r="N142" s="4"/>
      <c r="O142" s="4"/>
    </row>
    <row r="143" spans="2:15" x14ac:dyDescent="0.3">
      <c r="B143"/>
      <c r="H143" s="4"/>
      <c r="I143" s="4"/>
      <c r="K143" s="4"/>
      <c r="L143" s="4"/>
      <c r="M143" s="4"/>
      <c r="N143" s="4"/>
      <c r="O143" s="4"/>
    </row>
    <row r="144" spans="2:15" x14ac:dyDescent="0.3">
      <c r="B144"/>
      <c r="H144" s="4"/>
      <c r="I144" s="4"/>
      <c r="K144" s="4"/>
      <c r="L144" s="4"/>
      <c r="M144" s="4"/>
      <c r="N144" s="4"/>
      <c r="O144" s="4"/>
    </row>
    <row r="145" spans="2:15" x14ac:dyDescent="0.3">
      <c r="B145"/>
      <c r="H145" s="4"/>
      <c r="I145" s="4"/>
      <c r="K145" s="4"/>
      <c r="L145" s="4"/>
      <c r="M145" s="4"/>
      <c r="N145" s="4"/>
      <c r="O145" s="4"/>
    </row>
    <row r="146" spans="2:15" x14ac:dyDescent="0.3">
      <c r="B146"/>
      <c r="H146" s="4"/>
      <c r="I146" s="4"/>
      <c r="K146" s="4"/>
      <c r="L146" s="4"/>
      <c r="M146" s="4"/>
      <c r="N146" s="4"/>
      <c r="O146" s="4"/>
    </row>
    <row r="147" spans="2:15" x14ac:dyDescent="0.3">
      <c r="B147"/>
      <c r="H147" s="4"/>
      <c r="I147" s="4"/>
      <c r="K147" s="4"/>
      <c r="L147" s="4"/>
      <c r="M147" s="4"/>
      <c r="N147" s="4"/>
      <c r="O147" s="4"/>
    </row>
    <row r="148" spans="2:15" x14ac:dyDescent="0.3">
      <c r="B148"/>
      <c r="H148" s="4"/>
      <c r="I148" s="4"/>
      <c r="K148" s="4"/>
      <c r="L148" s="4"/>
      <c r="M148" s="4"/>
      <c r="N148" s="4"/>
      <c r="O148" s="4"/>
    </row>
    <row r="149" spans="2:15" x14ac:dyDescent="0.3">
      <c r="B149"/>
      <c r="H149" s="4"/>
      <c r="I149" s="4"/>
      <c r="K149" s="4"/>
      <c r="L149" s="4"/>
      <c r="M149" s="4"/>
      <c r="N149" s="4"/>
      <c r="O149" s="4"/>
    </row>
    <row r="150" spans="2:15" x14ac:dyDescent="0.3">
      <c r="B150"/>
      <c r="H150" s="4"/>
      <c r="I150" s="4"/>
      <c r="K150" s="4"/>
      <c r="L150" s="4"/>
      <c r="M150" s="4"/>
      <c r="N150" s="4"/>
      <c r="O150" s="4"/>
    </row>
    <row r="151" spans="2:15" x14ac:dyDescent="0.3">
      <c r="B151"/>
      <c r="H151" s="4"/>
      <c r="I151" s="4"/>
      <c r="K151" s="4"/>
      <c r="L151" s="4"/>
      <c r="M151" s="4"/>
      <c r="N151" s="4"/>
      <c r="O151" s="4"/>
    </row>
    <row r="152" spans="2:15" x14ac:dyDescent="0.3">
      <c r="B152"/>
      <c r="H152" s="4"/>
      <c r="I152" s="4"/>
      <c r="K152" s="4"/>
      <c r="L152" s="4"/>
      <c r="M152" s="4"/>
      <c r="N152" s="4"/>
      <c r="O152" s="4"/>
    </row>
    <row r="153" spans="2:15" x14ac:dyDescent="0.3">
      <c r="B153"/>
      <c r="H153" s="4"/>
      <c r="I153" s="4"/>
      <c r="K153" s="4"/>
      <c r="L153" s="4"/>
      <c r="M153" s="4"/>
      <c r="N153" s="4"/>
      <c r="O153" s="4"/>
    </row>
    <row r="154" spans="2:15" x14ac:dyDescent="0.3">
      <c r="B154"/>
      <c r="H154" s="4"/>
      <c r="I154" s="4"/>
      <c r="K154" s="4"/>
      <c r="L154" s="4"/>
      <c r="M154" s="4"/>
      <c r="N154" s="4"/>
      <c r="O154" s="4"/>
    </row>
    <row r="155" spans="2:15" x14ac:dyDescent="0.3">
      <c r="B155"/>
      <c r="H155" s="4"/>
      <c r="I155" s="4"/>
      <c r="K155" s="4"/>
      <c r="L155" s="4"/>
      <c r="M155" s="4"/>
      <c r="N155" s="4"/>
      <c r="O155" s="4"/>
    </row>
    <row r="156" spans="2:15" x14ac:dyDescent="0.3">
      <c r="B156"/>
      <c r="H156" s="4"/>
      <c r="I156" s="4"/>
      <c r="K156" s="4"/>
      <c r="L156" s="4"/>
      <c r="M156" s="4"/>
      <c r="N156" s="4"/>
      <c r="O156" s="4"/>
    </row>
    <row r="157" spans="2:15" x14ac:dyDescent="0.3">
      <c r="B157"/>
      <c r="H157" s="4"/>
      <c r="I157" s="4"/>
      <c r="K157" s="4"/>
      <c r="L157" s="4"/>
      <c r="M157" s="4"/>
      <c r="N157" s="4"/>
      <c r="O157" s="4"/>
    </row>
    <row r="158" spans="2:15" x14ac:dyDescent="0.3">
      <c r="B158"/>
      <c r="H158" s="4"/>
      <c r="I158" s="4"/>
      <c r="K158" s="4"/>
      <c r="L158" s="4"/>
      <c r="M158" s="4"/>
      <c r="N158" s="4"/>
      <c r="O158" s="4"/>
    </row>
    <row r="159" spans="2:15" x14ac:dyDescent="0.3">
      <c r="B159"/>
      <c r="H159" s="4"/>
      <c r="I159" s="4"/>
      <c r="K159" s="4"/>
      <c r="L159" s="4"/>
      <c r="M159" s="4"/>
      <c r="N159" s="4"/>
      <c r="O159" s="4"/>
    </row>
    <row r="160" spans="2:15" x14ac:dyDescent="0.3">
      <c r="B160"/>
      <c r="H160" s="4"/>
      <c r="I160" s="4"/>
      <c r="K160" s="4"/>
      <c r="L160" s="4"/>
      <c r="M160" s="4"/>
      <c r="N160" s="4"/>
      <c r="O160" s="4"/>
    </row>
    <row r="161" spans="2:15" x14ac:dyDescent="0.3">
      <c r="B161"/>
      <c r="H161" s="4"/>
      <c r="I161" s="4"/>
      <c r="K161" s="4"/>
      <c r="L161" s="4"/>
      <c r="M161" s="4"/>
      <c r="N161" s="4"/>
      <c r="O161" s="4"/>
    </row>
    <row r="162" spans="2:15" x14ac:dyDescent="0.3">
      <c r="B162"/>
      <c r="H162" s="4"/>
      <c r="I162" s="4"/>
      <c r="K162" s="4"/>
      <c r="L162" s="4"/>
      <c r="M162" s="4"/>
      <c r="N162" s="4"/>
      <c r="O162" s="4"/>
    </row>
    <row r="163" spans="2:15" x14ac:dyDescent="0.3">
      <c r="B163"/>
      <c r="H163" s="4"/>
      <c r="I163" s="4"/>
      <c r="K163" s="4"/>
      <c r="L163" s="4"/>
      <c r="M163" s="4"/>
      <c r="N163" s="4"/>
      <c r="O163" s="4"/>
    </row>
    <row r="164" spans="2:15" x14ac:dyDescent="0.3">
      <c r="B164"/>
      <c r="H164" s="4"/>
      <c r="I164" s="4"/>
      <c r="K164" s="4"/>
      <c r="L164" s="4"/>
      <c r="M164" s="4"/>
      <c r="N164" s="4"/>
      <c r="O164" s="4"/>
    </row>
    <row r="165" spans="2:15" x14ac:dyDescent="0.3">
      <c r="B165"/>
      <c r="H165" s="4"/>
      <c r="I165" s="4"/>
      <c r="K165" s="4"/>
      <c r="L165" s="4"/>
      <c r="M165" s="4"/>
      <c r="N165" s="4"/>
      <c r="O165" s="4"/>
    </row>
    <row r="166" spans="2:15" x14ac:dyDescent="0.3">
      <c r="B166"/>
      <c r="H166" s="4"/>
      <c r="I166" s="4"/>
      <c r="K166" s="4"/>
      <c r="L166" s="4"/>
      <c r="M166" s="4"/>
      <c r="N166" s="4"/>
      <c r="O166" s="4"/>
    </row>
    <row r="167" spans="2:15" x14ac:dyDescent="0.3">
      <c r="B167"/>
      <c r="H167" s="4"/>
      <c r="I167" s="4"/>
      <c r="K167" s="4"/>
      <c r="L167" s="4"/>
      <c r="M167" s="4"/>
      <c r="N167" s="4"/>
      <c r="O167" s="4"/>
    </row>
    <row r="168" spans="2:15" x14ac:dyDescent="0.3">
      <c r="B168"/>
      <c r="H168" s="4"/>
      <c r="I168" s="4"/>
      <c r="K168" s="4"/>
      <c r="L168" s="4"/>
      <c r="M168" s="4"/>
      <c r="N168" s="4"/>
      <c r="O168" s="4"/>
    </row>
    <row r="169" spans="2:15" x14ac:dyDescent="0.3">
      <c r="B169"/>
      <c r="H169" s="4"/>
      <c r="I169" s="4"/>
      <c r="K169" s="4"/>
      <c r="L169" s="4"/>
      <c r="M169" s="4"/>
      <c r="N169" s="4"/>
      <c r="O169" s="4"/>
    </row>
    <row r="170" spans="2:15" x14ac:dyDescent="0.3">
      <c r="B170"/>
      <c r="H170" s="4"/>
      <c r="I170" s="4"/>
      <c r="K170" s="4"/>
      <c r="L170" s="4"/>
      <c r="M170" s="4"/>
      <c r="N170" s="4"/>
      <c r="O170" s="4"/>
    </row>
    <row r="171" spans="2:15" x14ac:dyDescent="0.3">
      <c r="B171"/>
      <c r="H171" s="4"/>
      <c r="I171" s="4"/>
      <c r="K171" s="4"/>
      <c r="L171" s="4"/>
      <c r="M171" s="4"/>
      <c r="N171" s="4"/>
      <c r="O171" s="4"/>
    </row>
    <row r="172" spans="2:15" x14ac:dyDescent="0.3">
      <c r="B172"/>
      <c r="H172" s="4"/>
      <c r="I172" s="4"/>
      <c r="K172" s="4"/>
      <c r="L172" s="4"/>
      <c r="M172" s="4"/>
      <c r="N172" s="4"/>
      <c r="O172" s="4"/>
    </row>
    <row r="173" spans="2:15" x14ac:dyDescent="0.3">
      <c r="B173"/>
      <c r="H173" s="4"/>
      <c r="I173" s="4"/>
      <c r="K173" s="4"/>
      <c r="L173" s="4"/>
      <c r="M173" s="4"/>
      <c r="N173" s="4"/>
      <c r="O173" s="4"/>
    </row>
    <row r="174" spans="2:15" x14ac:dyDescent="0.3">
      <c r="B174"/>
      <c r="H174" s="4"/>
      <c r="I174" s="4"/>
      <c r="K174" s="4"/>
      <c r="L174" s="4"/>
      <c r="M174" s="4"/>
      <c r="N174" s="4"/>
      <c r="O174" s="4"/>
    </row>
    <row r="175" spans="2:15" x14ac:dyDescent="0.3">
      <c r="B175"/>
      <c r="H175" s="4"/>
      <c r="I175" s="4"/>
      <c r="K175" s="4"/>
      <c r="L175" s="4"/>
      <c r="M175" s="4"/>
      <c r="N175" s="4"/>
      <c r="O175" s="4"/>
    </row>
    <row r="176" spans="2:15" x14ac:dyDescent="0.3">
      <c r="B176"/>
      <c r="H176" s="4"/>
      <c r="I176" s="4"/>
      <c r="K176" s="4"/>
      <c r="L176" s="4"/>
      <c r="M176" s="4"/>
      <c r="N176" s="4"/>
      <c r="O176" s="4"/>
    </row>
    <row r="177" spans="2:15" x14ac:dyDescent="0.3">
      <c r="B177"/>
      <c r="H177" s="4"/>
      <c r="I177" s="4"/>
      <c r="K177" s="4"/>
      <c r="L177" s="4"/>
      <c r="M177" s="4"/>
      <c r="N177" s="4"/>
      <c r="O177" s="4"/>
    </row>
    <row r="178" spans="2:15" x14ac:dyDescent="0.3">
      <c r="B178"/>
      <c r="H178" s="4"/>
      <c r="I178" s="4"/>
      <c r="K178" s="4"/>
      <c r="L178" s="4"/>
      <c r="M178" s="4"/>
      <c r="N178" s="4"/>
      <c r="O178" s="4"/>
    </row>
    <row r="179" spans="2:15" x14ac:dyDescent="0.3">
      <c r="B179"/>
      <c r="H179" s="4"/>
      <c r="I179" s="4"/>
      <c r="K179" s="4"/>
      <c r="L179" s="4"/>
      <c r="M179" s="4"/>
      <c r="N179" s="4"/>
      <c r="O179" s="4"/>
    </row>
    <row r="180" spans="2:15" x14ac:dyDescent="0.3">
      <c r="B180"/>
      <c r="H180" s="4"/>
      <c r="I180" s="4"/>
      <c r="K180" s="4"/>
      <c r="L180" s="4"/>
      <c r="M180" s="4"/>
      <c r="N180" s="4"/>
      <c r="O180" s="4"/>
    </row>
    <row r="181" spans="2:15" x14ac:dyDescent="0.3">
      <c r="B181"/>
      <c r="H181" s="4"/>
      <c r="I181" s="4"/>
      <c r="K181" s="4"/>
      <c r="L181" s="4"/>
      <c r="M181" s="4"/>
      <c r="N181" s="4"/>
      <c r="O181" s="4"/>
    </row>
    <row r="182" spans="2:15" x14ac:dyDescent="0.3">
      <c r="B182"/>
      <c r="H182" s="4"/>
      <c r="I182" s="4"/>
      <c r="K182" s="4"/>
      <c r="L182" s="4"/>
      <c r="M182" s="4"/>
      <c r="N182" s="4"/>
      <c r="O182" s="4"/>
    </row>
    <row r="183" spans="2:15" x14ac:dyDescent="0.3">
      <c r="B183"/>
      <c r="H183" s="4"/>
      <c r="I183" s="4"/>
      <c r="K183" s="4"/>
      <c r="L183" s="4"/>
      <c r="M183" s="4"/>
      <c r="N183" s="4"/>
      <c r="O183" s="4"/>
    </row>
    <row r="184" spans="2:15" x14ac:dyDescent="0.3">
      <c r="B184"/>
      <c r="H184" s="4"/>
      <c r="I184" s="4"/>
      <c r="K184" s="4"/>
      <c r="L184" s="4"/>
      <c r="M184" s="4"/>
      <c r="N184" s="4"/>
      <c r="O184" s="4"/>
    </row>
    <row r="185" spans="2:15" x14ac:dyDescent="0.3">
      <c r="B185"/>
      <c r="H185" s="4"/>
      <c r="I185" s="4"/>
      <c r="K185" s="4"/>
      <c r="L185" s="4"/>
      <c r="M185" s="4"/>
      <c r="N185" s="4"/>
      <c r="O185" s="4"/>
    </row>
    <row r="186" spans="2:15" x14ac:dyDescent="0.3">
      <c r="B186"/>
      <c r="H186" s="4"/>
      <c r="I186" s="4"/>
      <c r="K186" s="4"/>
      <c r="L186" s="4"/>
      <c r="M186" s="4"/>
      <c r="N186" s="4"/>
      <c r="O186" s="4"/>
    </row>
    <row r="187" spans="2:15" x14ac:dyDescent="0.3">
      <c r="B187"/>
      <c r="H187" s="4"/>
      <c r="I187" s="4"/>
      <c r="K187" s="4"/>
      <c r="L187" s="4"/>
      <c r="M187" s="4"/>
      <c r="N187" s="4"/>
      <c r="O187" s="4"/>
    </row>
    <row r="188" spans="2:15" x14ac:dyDescent="0.3">
      <c r="B188"/>
      <c r="H188" s="4"/>
      <c r="I188" s="4"/>
      <c r="K188" s="4"/>
      <c r="L188" s="4"/>
      <c r="M188" s="4"/>
      <c r="N188" s="4"/>
      <c r="O188" s="4"/>
    </row>
    <row r="189" spans="2:15" x14ac:dyDescent="0.3">
      <c r="B189"/>
      <c r="H189" s="4"/>
      <c r="I189" s="4"/>
      <c r="K189" s="4"/>
      <c r="L189" s="4"/>
      <c r="M189" s="4"/>
      <c r="N189" s="4"/>
      <c r="O189" s="4"/>
    </row>
    <row r="190" spans="2:15" x14ac:dyDescent="0.3">
      <c r="B190"/>
      <c r="H190" s="4"/>
      <c r="I190" s="4"/>
      <c r="K190" s="4"/>
      <c r="L190" s="4"/>
      <c r="M190" s="4"/>
      <c r="N190" s="4"/>
      <c r="O190" s="4"/>
    </row>
    <row r="191" spans="2:15" x14ac:dyDescent="0.3">
      <c r="B191"/>
      <c r="H191" s="4"/>
      <c r="I191" s="4"/>
      <c r="K191" s="4"/>
      <c r="L191" s="4"/>
      <c r="M191" s="4"/>
      <c r="N191" s="4"/>
      <c r="O191" s="4"/>
    </row>
    <row r="192" spans="2:15" x14ac:dyDescent="0.3">
      <c r="B192"/>
      <c r="H192" s="4"/>
      <c r="I192" s="4"/>
      <c r="K192" s="4"/>
      <c r="L192" s="4"/>
      <c r="M192" s="4"/>
      <c r="N192" s="4"/>
      <c r="O192" s="4"/>
    </row>
    <row r="193" spans="2:15" x14ac:dyDescent="0.3">
      <c r="B193"/>
      <c r="H193" s="4"/>
      <c r="I193" s="4"/>
      <c r="K193" s="4"/>
      <c r="L193" s="4"/>
      <c r="M193" s="4"/>
      <c r="N193" s="4"/>
      <c r="O193" s="4"/>
    </row>
    <row r="194" spans="2:15" x14ac:dyDescent="0.3">
      <c r="B194"/>
      <c r="H194" s="4"/>
      <c r="I194" s="4"/>
      <c r="K194" s="4"/>
      <c r="L194" s="4"/>
      <c r="M194" s="4"/>
      <c r="N194" s="4"/>
      <c r="O194" s="4"/>
    </row>
    <row r="195" spans="2:15" x14ac:dyDescent="0.3">
      <c r="B195"/>
      <c r="H195" s="4"/>
      <c r="I195" s="4"/>
      <c r="K195" s="4"/>
      <c r="L195" s="4"/>
      <c r="M195" s="4"/>
      <c r="N195" s="4"/>
      <c r="O195" s="4"/>
    </row>
    <row r="196" spans="2:15" x14ac:dyDescent="0.3">
      <c r="B196"/>
      <c r="H196" s="4"/>
      <c r="I196" s="4"/>
      <c r="K196" s="4"/>
      <c r="L196" s="4"/>
      <c r="M196" s="4"/>
      <c r="N196" s="4"/>
      <c r="O196" s="4"/>
    </row>
    <row r="197" spans="2:15" x14ac:dyDescent="0.3">
      <c r="B197"/>
      <c r="H197" s="4"/>
      <c r="I197" s="4"/>
      <c r="K197" s="4"/>
      <c r="L197" s="4"/>
      <c r="M197" s="4"/>
      <c r="N197" s="4"/>
      <c r="O197" s="4"/>
    </row>
    <row r="198" spans="2:15" x14ac:dyDescent="0.3">
      <c r="B198"/>
      <c r="H198" s="4"/>
      <c r="I198" s="4"/>
      <c r="K198" s="4"/>
      <c r="L198" s="4"/>
      <c r="M198" s="4"/>
      <c r="N198" s="4"/>
      <c r="O198" s="4"/>
    </row>
    <row r="199" spans="2:15" x14ac:dyDescent="0.3">
      <c r="B199"/>
      <c r="H199" s="4"/>
      <c r="I199" s="4"/>
      <c r="K199" s="4"/>
      <c r="L199" s="4"/>
      <c r="M199" s="4"/>
      <c r="N199" s="4"/>
      <c r="O199" s="4"/>
    </row>
    <row r="200" spans="2:15" x14ac:dyDescent="0.3">
      <c r="B200"/>
      <c r="H200" s="4"/>
      <c r="I200" s="4"/>
      <c r="K200" s="4"/>
      <c r="L200" s="4"/>
      <c r="M200" s="4"/>
      <c r="N200" s="4"/>
      <c r="O200" s="4"/>
    </row>
    <row r="201" spans="2:15" x14ac:dyDescent="0.3">
      <c r="B201"/>
      <c r="H201" s="4"/>
      <c r="I201" s="4"/>
      <c r="K201" s="4"/>
    </row>
    <row r="202" spans="2:15" x14ac:dyDescent="0.3">
      <c r="B202"/>
      <c r="H202" s="4"/>
      <c r="I202" s="4"/>
      <c r="K202" s="4"/>
    </row>
    <row r="203" spans="2:15" x14ac:dyDescent="0.3">
      <c r="B203"/>
      <c r="H203" s="4"/>
      <c r="I203" s="4"/>
      <c r="K203" s="4"/>
    </row>
    <row r="204" spans="2:15" x14ac:dyDescent="0.3">
      <c r="B204"/>
      <c r="H204" s="4"/>
      <c r="I204" s="4"/>
      <c r="K204" s="4"/>
    </row>
    <row r="205" spans="2:15" x14ac:dyDescent="0.3">
      <c r="B205"/>
      <c r="H205" s="4"/>
      <c r="I205" s="4"/>
      <c r="K205" s="4"/>
    </row>
    <row r="206" spans="2:15" x14ac:dyDescent="0.3">
      <c r="B206"/>
      <c r="H206" s="4"/>
      <c r="I206" s="4"/>
      <c r="K206" s="4"/>
    </row>
    <row r="207" spans="2:15" x14ac:dyDescent="0.3">
      <c r="B207"/>
      <c r="H207" s="4"/>
      <c r="I207" s="4"/>
      <c r="K207" s="4"/>
    </row>
    <row r="208" spans="2:15" x14ac:dyDescent="0.3">
      <c r="B208"/>
      <c r="H208" s="4"/>
      <c r="I208" s="4"/>
      <c r="K208" s="4"/>
    </row>
    <row r="209" spans="2:11" x14ac:dyDescent="0.3">
      <c r="B209"/>
      <c r="H209" s="4"/>
      <c r="I209" s="4"/>
      <c r="K209" s="4"/>
    </row>
    <row r="210" spans="2:11" x14ac:dyDescent="0.3">
      <c r="B210"/>
      <c r="H210" s="4"/>
      <c r="I210" s="4"/>
      <c r="K210" s="4"/>
    </row>
    <row r="211" spans="2:11" x14ac:dyDescent="0.3">
      <c r="B211"/>
      <c r="H211" s="4"/>
      <c r="I211" s="4"/>
      <c r="K211" s="4"/>
    </row>
    <row r="212" spans="2:11" x14ac:dyDescent="0.3">
      <c r="B212"/>
      <c r="H212" s="4"/>
      <c r="I212" s="4"/>
      <c r="K212" s="4"/>
    </row>
    <row r="213" spans="2:11" x14ac:dyDescent="0.3">
      <c r="B213"/>
      <c r="H213" s="4"/>
      <c r="I213" s="4"/>
      <c r="K213" s="4"/>
    </row>
    <row r="214" spans="2:11" x14ac:dyDescent="0.3">
      <c r="B214"/>
      <c r="H214" s="4"/>
      <c r="I214" s="4"/>
      <c r="K214" s="4"/>
    </row>
    <row r="215" spans="2:11" x14ac:dyDescent="0.3">
      <c r="B215"/>
      <c r="H215" s="4"/>
      <c r="I215" s="4"/>
      <c r="K215" s="4"/>
    </row>
    <row r="216" spans="2:11" x14ac:dyDescent="0.3">
      <c r="H216" s="4"/>
      <c r="I216" s="4"/>
      <c r="K216" s="4"/>
    </row>
    <row r="217" spans="2:11" x14ac:dyDescent="0.3">
      <c r="H217" s="4"/>
      <c r="I217" s="4"/>
      <c r="K217" s="4"/>
    </row>
    <row r="218" spans="2:11" x14ac:dyDescent="0.3">
      <c r="H218" s="4"/>
      <c r="I218" s="4"/>
      <c r="K218" s="4"/>
    </row>
    <row r="219" spans="2:11" x14ac:dyDescent="0.3">
      <c r="H219" s="4"/>
      <c r="I219" s="4"/>
      <c r="K219" s="4"/>
    </row>
    <row r="220" spans="2:11" x14ac:dyDescent="0.3">
      <c r="H220" s="4"/>
      <c r="I220" s="4"/>
      <c r="K220" s="4"/>
    </row>
    <row r="221" spans="2:11" x14ac:dyDescent="0.3">
      <c r="H221" s="4"/>
      <c r="I221" s="4"/>
      <c r="K221" s="4"/>
    </row>
    <row r="222" spans="2:11" x14ac:dyDescent="0.3">
      <c r="H222" s="4"/>
      <c r="I222" s="4"/>
      <c r="K222" s="4"/>
    </row>
    <row r="223" spans="2:11" x14ac:dyDescent="0.3">
      <c r="H223" s="4"/>
      <c r="I223" s="4"/>
      <c r="K223" s="4"/>
    </row>
    <row r="224" spans="2:11" x14ac:dyDescent="0.3">
      <c r="H224" s="4"/>
      <c r="I224" s="4"/>
      <c r="K224" s="4"/>
    </row>
    <row r="225" spans="8:11" x14ac:dyDescent="0.3">
      <c r="H225" s="4"/>
      <c r="I225" s="4"/>
      <c r="K225" s="4"/>
    </row>
    <row r="226" spans="8:11" x14ac:dyDescent="0.3">
      <c r="H226" s="4"/>
      <c r="I226" s="4"/>
      <c r="K226" s="4"/>
    </row>
    <row r="227" spans="8:11" x14ac:dyDescent="0.3">
      <c r="H227" s="4"/>
      <c r="I227" s="4"/>
      <c r="K227" s="4"/>
    </row>
    <row r="228" spans="8:11" x14ac:dyDescent="0.3">
      <c r="H228" s="4"/>
      <c r="I228" s="4"/>
      <c r="K228" s="4"/>
    </row>
    <row r="229" spans="8:11" x14ac:dyDescent="0.3">
      <c r="H229" s="4"/>
      <c r="I229" s="4"/>
      <c r="K229" s="4"/>
    </row>
    <row r="230" spans="8:11" x14ac:dyDescent="0.3">
      <c r="H230" s="4"/>
      <c r="I230" s="4"/>
      <c r="K230" s="4"/>
    </row>
    <row r="231" spans="8:11" x14ac:dyDescent="0.3">
      <c r="H231" s="4"/>
      <c r="I231" s="4"/>
      <c r="K231" s="4"/>
    </row>
    <row r="232" spans="8:11" x14ac:dyDescent="0.3">
      <c r="H232" s="4"/>
      <c r="I232" s="4"/>
      <c r="K232" s="4"/>
    </row>
    <row r="233" spans="8:11" x14ac:dyDescent="0.3">
      <c r="H233" s="4"/>
      <c r="I233" s="4"/>
      <c r="K233" s="4"/>
    </row>
    <row r="234" spans="8:11" x14ac:dyDescent="0.3">
      <c r="H234" s="4"/>
      <c r="I234" s="4"/>
      <c r="K234" s="4"/>
    </row>
    <row r="235" spans="8:11" x14ac:dyDescent="0.3">
      <c r="H235" s="4"/>
      <c r="I235" s="4"/>
      <c r="K235" s="4"/>
    </row>
    <row r="236" spans="8:11" x14ac:dyDescent="0.3">
      <c r="H236" s="4"/>
      <c r="I236" s="4"/>
      <c r="K236" s="4"/>
    </row>
    <row r="237" spans="8:11" x14ac:dyDescent="0.3">
      <c r="H237" s="4"/>
      <c r="I237" s="4"/>
      <c r="K237" s="4"/>
    </row>
    <row r="238" spans="8:11" x14ac:dyDescent="0.3">
      <c r="H238" s="4"/>
      <c r="I238" s="4"/>
      <c r="K238" s="4"/>
    </row>
    <row r="239" spans="8:11" x14ac:dyDescent="0.3">
      <c r="H239" s="4"/>
      <c r="I239" s="4"/>
      <c r="K239" s="4"/>
    </row>
    <row r="240" spans="8:11" x14ac:dyDescent="0.3">
      <c r="H240" s="4"/>
      <c r="I240" s="4"/>
      <c r="K240" s="4"/>
    </row>
    <row r="241" spans="8:11" x14ac:dyDescent="0.3">
      <c r="H241" s="4"/>
      <c r="I241" s="4"/>
      <c r="K241" s="4"/>
    </row>
    <row r="242" spans="8:11" x14ac:dyDescent="0.3">
      <c r="H242" s="4"/>
      <c r="I242" s="4"/>
      <c r="K242" s="4"/>
    </row>
    <row r="243" spans="8:11" x14ac:dyDescent="0.3">
      <c r="H243" s="4"/>
      <c r="I243" s="4"/>
      <c r="K243" s="4"/>
    </row>
    <row r="244" spans="8:11" x14ac:dyDescent="0.3">
      <c r="H244" s="4"/>
      <c r="I244" s="4"/>
      <c r="K244" s="4"/>
    </row>
    <row r="245" spans="8:11" x14ac:dyDescent="0.3">
      <c r="H245" s="4"/>
      <c r="I245" s="4"/>
      <c r="K245" s="4"/>
    </row>
    <row r="246" spans="8:11" x14ac:dyDescent="0.3">
      <c r="H246" s="4"/>
      <c r="I246" s="4"/>
      <c r="K246" s="4"/>
    </row>
    <row r="247" spans="8:11" x14ac:dyDescent="0.3">
      <c r="H247" s="4"/>
      <c r="I247" s="4"/>
      <c r="K247" s="4"/>
    </row>
    <row r="248" spans="8:11" x14ac:dyDescent="0.3">
      <c r="H248" s="4"/>
      <c r="I248" s="4"/>
      <c r="K248" s="4"/>
    </row>
    <row r="249" spans="8:11" x14ac:dyDescent="0.3">
      <c r="H249" s="4"/>
      <c r="I249" s="4"/>
      <c r="K249" s="4"/>
    </row>
    <row r="250" spans="8:11" x14ac:dyDescent="0.3">
      <c r="H250" s="4"/>
      <c r="I250" s="4"/>
      <c r="K250" s="4"/>
    </row>
    <row r="251" spans="8:11" x14ac:dyDescent="0.3">
      <c r="H251" s="4"/>
      <c r="I251" s="4"/>
      <c r="K251" s="4"/>
    </row>
    <row r="252" spans="8:11" x14ac:dyDescent="0.3">
      <c r="H252" s="4"/>
      <c r="I252" s="4"/>
      <c r="K252" s="4"/>
    </row>
    <row r="253" spans="8:11" x14ac:dyDescent="0.3">
      <c r="H253" s="4"/>
      <c r="I253" s="4"/>
      <c r="K253" s="4"/>
    </row>
    <row r="254" spans="8:11" x14ac:dyDescent="0.3">
      <c r="H254" s="4"/>
      <c r="I254" s="4"/>
      <c r="K254" s="4"/>
    </row>
    <row r="255" spans="8:11" x14ac:dyDescent="0.3">
      <c r="H255" s="4"/>
      <c r="I255" s="4"/>
      <c r="K255" s="4"/>
    </row>
    <row r="256" spans="8:11" x14ac:dyDescent="0.3">
      <c r="H256" s="4"/>
      <c r="I256" s="4"/>
      <c r="K256" s="4"/>
    </row>
    <row r="257" spans="8:11" x14ac:dyDescent="0.3">
      <c r="H257" s="4"/>
      <c r="I257" s="4"/>
      <c r="K257" s="4"/>
    </row>
    <row r="258" spans="8:11" x14ac:dyDescent="0.3">
      <c r="H258" s="4"/>
      <c r="I258" s="4"/>
      <c r="K258" s="4"/>
    </row>
    <row r="259" spans="8:11" x14ac:dyDescent="0.3">
      <c r="H259" s="4"/>
      <c r="I259" s="4"/>
      <c r="K259" s="4"/>
    </row>
    <row r="260" spans="8:11" x14ac:dyDescent="0.3">
      <c r="H260" s="4"/>
      <c r="I260" s="4"/>
      <c r="K260" s="4"/>
    </row>
    <row r="261" spans="8:11" x14ac:dyDescent="0.3">
      <c r="H261" s="4"/>
      <c r="I261" s="4"/>
      <c r="K261" s="4"/>
    </row>
    <row r="262" spans="8:11" x14ac:dyDescent="0.3">
      <c r="H262" s="4"/>
      <c r="I262" s="4"/>
      <c r="K262" s="4"/>
    </row>
    <row r="263" spans="8:11" x14ac:dyDescent="0.3">
      <c r="H263" s="4"/>
      <c r="I263" s="4"/>
      <c r="K263" s="4"/>
    </row>
    <row r="264" spans="8:11" x14ac:dyDescent="0.3">
      <c r="H264" s="4"/>
      <c r="I264" s="4"/>
      <c r="K264" s="4"/>
    </row>
    <row r="265" spans="8:11" x14ac:dyDescent="0.3">
      <c r="K265" s="4"/>
    </row>
    <row r="266" spans="8:11" x14ac:dyDescent="0.3">
      <c r="K266" s="4"/>
    </row>
    <row r="267" spans="8:11" x14ac:dyDescent="0.3">
      <c r="K267" s="4"/>
    </row>
    <row r="268" spans="8:11" x14ac:dyDescent="0.3">
      <c r="K268" s="4"/>
    </row>
    <row r="269" spans="8:11" x14ac:dyDescent="0.3">
      <c r="K269" s="4"/>
    </row>
    <row r="270" spans="8:11" x14ac:dyDescent="0.3">
      <c r="K270" s="4"/>
    </row>
    <row r="271" spans="8:11" x14ac:dyDescent="0.3">
      <c r="K271" s="4"/>
    </row>
    <row r="272" spans="8:11" x14ac:dyDescent="0.3">
      <c r="K272" s="4"/>
    </row>
    <row r="273" spans="11:11" x14ac:dyDescent="0.3">
      <c r="K273" s="4"/>
    </row>
    <row r="274" spans="11:11" x14ac:dyDescent="0.3">
      <c r="K274" s="4"/>
    </row>
    <row r="275" spans="11:11" x14ac:dyDescent="0.3">
      <c r="K275" s="4"/>
    </row>
    <row r="276" spans="11:11" x14ac:dyDescent="0.3">
      <c r="K276" s="4"/>
    </row>
    <row r="277" spans="11:11" x14ac:dyDescent="0.3">
      <c r="K277" s="4"/>
    </row>
    <row r="278" spans="11:11" x14ac:dyDescent="0.3">
      <c r="K278" s="4"/>
    </row>
    <row r="279" spans="11:11" x14ac:dyDescent="0.3">
      <c r="K279" s="4"/>
    </row>
    <row r="280" spans="11:11" x14ac:dyDescent="0.3">
      <c r="K280" s="4"/>
    </row>
    <row r="281" spans="11:11" x14ac:dyDescent="0.3">
      <c r="K281" s="4"/>
    </row>
    <row r="282" spans="11:11" x14ac:dyDescent="0.3">
      <c r="K282" s="4"/>
    </row>
    <row r="283" spans="11:11" x14ac:dyDescent="0.3">
      <c r="K283" s="4"/>
    </row>
    <row r="284" spans="11:11" x14ac:dyDescent="0.3">
      <c r="K284" s="4"/>
    </row>
    <row r="285" spans="11:11" x14ac:dyDescent="0.3">
      <c r="K285" s="4"/>
    </row>
    <row r="286" spans="11:11" x14ac:dyDescent="0.3">
      <c r="K286" s="4"/>
    </row>
    <row r="287" spans="11:11" x14ac:dyDescent="0.3">
      <c r="K287" s="4"/>
    </row>
    <row r="288" spans="11:11" x14ac:dyDescent="0.3">
      <c r="K288" s="4"/>
    </row>
    <row r="289" spans="11:11" x14ac:dyDescent="0.3">
      <c r="K289" s="4"/>
    </row>
    <row r="290" spans="11:11" x14ac:dyDescent="0.3">
      <c r="K290" s="4"/>
    </row>
    <row r="291" spans="11:11" x14ac:dyDescent="0.3">
      <c r="K291" s="4"/>
    </row>
    <row r="292" spans="11:11" x14ac:dyDescent="0.3">
      <c r="K292" s="4"/>
    </row>
    <row r="293" spans="11:11" x14ac:dyDescent="0.3">
      <c r="K293" s="4"/>
    </row>
    <row r="294" spans="11:11" x14ac:dyDescent="0.3">
      <c r="K294" s="4"/>
    </row>
    <row r="295" spans="11:11" x14ac:dyDescent="0.3">
      <c r="K295" s="4"/>
    </row>
    <row r="296" spans="11:11" x14ac:dyDescent="0.3">
      <c r="K296" s="4"/>
    </row>
    <row r="297" spans="11:11" x14ac:dyDescent="0.3">
      <c r="K297" s="4"/>
    </row>
    <row r="298" spans="11:11" x14ac:dyDescent="0.3">
      <c r="K298" s="4"/>
    </row>
    <row r="299" spans="11:11" x14ac:dyDescent="0.3">
      <c r="K299" s="4"/>
    </row>
    <row r="300" spans="11:11" x14ac:dyDescent="0.3">
      <c r="K300" s="4"/>
    </row>
    <row r="301" spans="11:11" x14ac:dyDescent="0.3">
      <c r="K301" s="4"/>
    </row>
    <row r="302" spans="11:11" x14ac:dyDescent="0.3">
      <c r="K302" s="4"/>
    </row>
    <row r="303" spans="11:11" x14ac:dyDescent="0.3">
      <c r="K303" s="4"/>
    </row>
    <row r="304" spans="11:11" x14ac:dyDescent="0.3">
      <c r="K304" s="4"/>
    </row>
    <row r="305" spans="11:11" x14ac:dyDescent="0.3">
      <c r="K305" s="4"/>
    </row>
    <row r="306" spans="11:11" x14ac:dyDescent="0.3">
      <c r="K306" s="4"/>
    </row>
    <row r="307" spans="11:11" x14ac:dyDescent="0.3">
      <c r="K307" s="4"/>
    </row>
    <row r="308" spans="11:11" x14ac:dyDescent="0.3">
      <c r="K308" s="4"/>
    </row>
    <row r="309" spans="11:11" x14ac:dyDescent="0.3">
      <c r="K309" s="4"/>
    </row>
    <row r="310" spans="11:11" x14ac:dyDescent="0.3">
      <c r="K310" s="4"/>
    </row>
    <row r="311" spans="11:11" x14ac:dyDescent="0.3">
      <c r="K311" s="4"/>
    </row>
    <row r="312" spans="11:11" x14ac:dyDescent="0.3">
      <c r="K312" s="4"/>
    </row>
    <row r="313" spans="11:11" x14ac:dyDescent="0.3">
      <c r="K313" s="4"/>
    </row>
    <row r="314" spans="11:11" x14ac:dyDescent="0.3">
      <c r="K314" s="4"/>
    </row>
    <row r="315" spans="11:11" x14ac:dyDescent="0.3">
      <c r="K315" s="4"/>
    </row>
    <row r="316" spans="11:11" x14ac:dyDescent="0.3">
      <c r="K316" s="4"/>
    </row>
    <row r="317" spans="11:11" x14ac:dyDescent="0.3">
      <c r="K317" s="4"/>
    </row>
    <row r="318" spans="11:11" x14ac:dyDescent="0.3">
      <c r="K318" s="4"/>
    </row>
    <row r="319" spans="11:11" x14ac:dyDescent="0.3">
      <c r="K319" s="4"/>
    </row>
    <row r="320" spans="11:11" x14ac:dyDescent="0.3">
      <c r="K320" s="4"/>
    </row>
    <row r="321" spans="11:11" x14ac:dyDescent="0.3">
      <c r="K321" s="4"/>
    </row>
    <row r="322" spans="11:11" x14ac:dyDescent="0.3">
      <c r="K322" s="4"/>
    </row>
    <row r="323" spans="11:11" x14ac:dyDescent="0.3">
      <c r="K323" s="4"/>
    </row>
    <row r="324" spans="11:11" x14ac:dyDescent="0.3">
      <c r="K324" s="4"/>
    </row>
    <row r="325" spans="11:11" x14ac:dyDescent="0.3">
      <c r="K325" s="4"/>
    </row>
    <row r="326" spans="11:11" x14ac:dyDescent="0.3">
      <c r="K326" s="4"/>
    </row>
    <row r="327" spans="11:11" x14ac:dyDescent="0.3">
      <c r="K327" s="4"/>
    </row>
    <row r="328" spans="11:11" x14ac:dyDescent="0.3">
      <c r="K328" s="4"/>
    </row>
    <row r="329" spans="11:11" x14ac:dyDescent="0.3">
      <c r="K329" s="4"/>
    </row>
    <row r="330" spans="11:11" x14ac:dyDescent="0.3">
      <c r="K330" s="4"/>
    </row>
    <row r="331" spans="11:11" x14ac:dyDescent="0.3">
      <c r="K331" s="4"/>
    </row>
    <row r="332" spans="11:11" x14ac:dyDescent="0.3">
      <c r="K332" s="4"/>
    </row>
    <row r="333" spans="11:11" x14ac:dyDescent="0.3">
      <c r="K333" s="4"/>
    </row>
    <row r="334" spans="11:11" x14ac:dyDescent="0.3">
      <c r="K334" s="4"/>
    </row>
    <row r="335" spans="11:11" x14ac:dyDescent="0.3">
      <c r="K335" s="4"/>
    </row>
    <row r="336" spans="11:11" x14ac:dyDescent="0.3">
      <c r="K336" s="4"/>
    </row>
    <row r="337" spans="11:11" x14ac:dyDescent="0.3">
      <c r="K337" s="4"/>
    </row>
    <row r="338" spans="11:11" x14ac:dyDescent="0.3">
      <c r="K338" s="4"/>
    </row>
    <row r="339" spans="11:11" x14ac:dyDescent="0.3">
      <c r="K339" s="4"/>
    </row>
    <row r="340" spans="11:11" x14ac:dyDescent="0.3">
      <c r="K340" s="4"/>
    </row>
    <row r="341" spans="11:11" x14ac:dyDescent="0.3">
      <c r="K341" s="4"/>
    </row>
    <row r="342" spans="11:11" x14ac:dyDescent="0.3">
      <c r="K342" s="4"/>
    </row>
    <row r="343" spans="11:11" x14ac:dyDescent="0.3">
      <c r="K343" s="4"/>
    </row>
    <row r="344" spans="11:11" x14ac:dyDescent="0.3">
      <c r="K344" s="4"/>
    </row>
    <row r="345" spans="11:11" x14ac:dyDescent="0.3">
      <c r="K345" s="4"/>
    </row>
    <row r="346" spans="11:11" x14ac:dyDescent="0.3">
      <c r="K346" s="4"/>
    </row>
    <row r="347" spans="11:11" x14ac:dyDescent="0.3">
      <c r="K347" s="4"/>
    </row>
    <row r="348" spans="11:11" x14ac:dyDescent="0.3">
      <c r="K348" s="4"/>
    </row>
    <row r="349" spans="11:11" x14ac:dyDescent="0.3">
      <c r="K349" s="4"/>
    </row>
    <row r="350" spans="11:11" x14ac:dyDescent="0.3">
      <c r="K350" s="4"/>
    </row>
    <row r="351" spans="11:11" x14ac:dyDescent="0.3">
      <c r="K351" s="4"/>
    </row>
    <row r="352" spans="11:11" x14ac:dyDescent="0.3">
      <c r="K352" s="4"/>
    </row>
    <row r="353" spans="11:11" x14ac:dyDescent="0.3">
      <c r="K353" s="4"/>
    </row>
  </sheetData>
  <pageMargins left="0.7" right="0.7" top="0.75" bottom="0.75" header="0.3" footer="0.3"/>
  <pageSetup orientation="portrait" r:id="rId7"/>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95139-2698-4D58-92AF-766AC70C87CA}">
  <dimension ref="B2"/>
  <sheetViews>
    <sheetView tabSelected="1" workbookViewId="0">
      <selection activeCell="N21" sqref="N21"/>
    </sheetView>
  </sheetViews>
  <sheetFormatPr defaultRowHeight="15" x14ac:dyDescent="0.25"/>
  <cols>
    <col min="2" max="2" width="15.7109375" bestFit="1" customWidth="1"/>
  </cols>
  <sheetData>
    <row r="2" spans="2:2" x14ac:dyDescent="0.25">
      <c r="B2" t="s">
        <v>381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B721-A37B-4403-AB10-B95B0698B723}">
  <dimension ref="B6:Q137"/>
  <sheetViews>
    <sheetView showGridLines="0" zoomScaleNormal="100" workbookViewId="0"/>
  </sheetViews>
  <sheetFormatPr defaultRowHeight="16.5" x14ac:dyDescent="0.3"/>
  <cols>
    <col min="1" max="1" width="3.140625" style="185" customWidth="1"/>
    <col min="2" max="2" width="4.5703125" style="185" customWidth="1"/>
    <col min="3" max="16384" width="9.140625" style="185"/>
  </cols>
  <sheetData>
    <row r="6" spans="2:3" x14ac:dyDescent="0.3">
      <c r="B6" s="185" t="s">
        <v>353</v>
      </c>
    </row>
    <row r="7" spans="2:3" x14ac:dyDescent="0.3">
      <c r="C7" s="185" t="s">
        <v>354</v>
      </c>
    </row>
    <row r="31" spans="2:3" x14ac:dyDescent="0.3">
      <c r="B31" s="185" t="s">
        <v>355</v>
      </c>
    </row>
    <row r="32" spans="2:3" x14ac:dyDescent="0.3">
      <c r="C32" s="185" t="s">
        <v>356</v>
      </c>
    </row>
    <row r="34" spans="16:16" x14ac:dyDescent="0.3">
      <c r="P34" s="185" t="s">
        <v>357</v>
      </c>
    </row>
    <row r="35" spans="16:16" x14ac:dyDescent="0.3">
      <c r="P35" s="185" t="s">
        <v>358</v>
      </c>
    </row>
    <row r="56" spans="2:3" x14ac:dyDescent="0.3">
      <c r="B56" s="185" t="s">
        <v>359</v>
      </c>
    </row>
    <row r="57" spans="2:3" x14ac:dyDescent="0.3">
      <c r="C57" s="185" t="s">
        <v>360</v>
      </c>
    </row>
    <row r="79" spans="2:3" x14ac:dyDescent="0.3">
      <c r="B79" s="185" t="s">
        <v>361</v>
      </c>
    </row>
    <row r="80" spans="2:3" x14ac:dyDescent="0.3">
      <c r="C80" s="185" t="s">
        <v>362</v>
      </c>
    </row>
    <row r="81" spans="2:16" x14ac:dyDescent="0.3">
      <c r="C81" s="185" t="s">
        <v>363</v>
      </c>
    </row>
    <row r="83" spans="2:16" x14ac:dyDescent="0.3">
      <c r="B83" s="185" t="s">
        <v>364</v>
      </c>
    </row>
    <row r="85" spans="2:16" x14ac:dyDescent="0.3">
      <c r="B85" s="185" t="s">
        <v>365</v>
      </c>
    </row>
    <row r="86" spans="2:16" x14ac:dyDescent="0.3">
      <c r="B86" s="185" t="s">
        <v>366</v>
      </c>
    </row>
    <row r="88" spans="2:16" x14ac:dyDescent="0.3">
      <c r="B88" s="185" t="s">
        <v>367</v>
      </c>
    </row>
    <row r="90" spans="2:16" x14ac:dyDescent="0.3">
      <c r="P90" s="185" t="s">
        <v>368</v>
      </c>
    </row>
    <row r="91" spans="2:16" x14ac:dyDescent="0.3">
      <c r="P91" s="185" t="s">
        <v>369</v>
      </c>
    </row>
    <row r="97" spans="2:17" x14ac:dyDescent="0.3">
      <c r="P97" s="185" t="s">
        <v>370</v>
      </c>
    </row>
    <row r="98" spans="2:17" x14ac:dyDescent="0.3">
      <c r="Q98" s="185" t="s">
        <v>371</v>
      </c>
    </row>
    <row r="99" spans="2:17" x14ac:dyDescent="0.3">
      <c r="Q99" s="185" t="s">
        <v>372</v>
      </c>
    </row>
    <row r="100" spans="2:17" x14ac:dyDescent="0.3">
      <c r="Q100" s="185" t="s">
        <v>373</v>
      </c>
    </row>
    <row r="101" spans="2:17" x14ac:dyDescent="0.3">
      <c r="Q101" s="185" t="s">
        <v>374</v>
      </c>
    </row>
    <row r="109" spans="2:17" x14ac:dyDescent="0.3">
      <c r="P109" s="185" t="s">
        <v>375</v>
      </c>
    </row>
    <row r="112" spans="2:17" x14ac:dyDescent="0.3">
      <c r="B112" s="185" t="s">
        <v>376</v>
      </c>
    </row>
    <row r="113" spans="3:14" x14ac:dyDescent="0.3">
      <c r="C113" s="185" t="s">
        <v>377</v>
      </c>
    </row>
    <row r="115" spans="3:14" x14ac:dyDescent="0.3">
      <c r="N115" s="185" t="s">
        <v>378</v>
      </c>
    </row>
    <row r="135" spans="2:2" x14ac:dyDescent="0.3">
      <c r="B135" s="185" t="s">
        <v>379</v>
      </c>
    </row>
    <row r="137" spans="2:2" x14ac:dyDescent="0.3">
      <c r="B137" s="185" t="s">
        <v>380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Admin Interface</vt:lpstr>
      <vt:lpstr>User Details</vt:lpstr>
      <vt:lpstr>Payout Details</vt:lpstr>
      <vt:lpstr>Transactions</vt:lpstr>
      <vt:lpstr>User Performance</vt:lpstr>
      <vt:lpstr>Pivot Tables</vt:lpstr>
      <vt:lpstr>Tables</vt:lpstr>
      <vt:lpstr>ⓘ About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Jc Maravilla</dc:creator>
  <cp:keywords/>
  <dc:description/>
  <cp:lastModifiedBy>Jc Maravilla</cp:lastModifiedBy>
  <cp:revision/>
  <dcterms:created xsi:type="dcterms:W3CDTF">2023-12-23T16:40:40Z</dcterms:created>
  <dcterms:modified xsi:type="dcterms:W3CDTF">2024-05-14T07:05:19Z</dcterms:modified>
  <cp:category/>
  <cp:contentStatus/>
</cp:coreProperties>
</file>