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bautista/Desktop/Teoria_De_Circuitos/Labo_TC1/TP4_Cuadripolos/"/>
    </mc:Choice>
  </mc:AlternateContent>
  <xr:revisionPtr revIDLastSave="0" documentId="13_ncr:1_{2B70CF26-E0D4-1B49-80AF-12A1BA6DAC37}" xr6:coauthVersionLast="47" xr6:coauthVersionMax="47" xr10:uidLastSave="{00000000-0000-0000-0000-000000000000}"/>
  <bookViews>
    <workbookView xWindow="3200" yWindow="860" windowWidth="22920" windowHeight="17500" xr2:uid="{5B2A29B3-2CF8-994E-8850-D83F2CE44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E30" i="1"/>
  <c r="E26" i="1"/>
  <c r="D14" i="1"/>
  <c r="E13" i="1"/>
  <c r="E9" i="1"/>
  <c r="H54" i="1"/>
  <c r="G54" i="1"/>
  <c r="H53" i="1"/>
  <c r="G53" i="1"/>
  <c r="H45" i="1"/>
  <c r="G44" i="1"/>
  <c r="C31" i="1"/>
  <c r="B30" i="1"/>
  <c r="D30" i="1"/>
  <c r="D26" i="1"/>
  <c r="B26" i="1"/>
  <c r="D25" i="1"/>
  <c r="G26" i="1" s="1"/>
  <c r="C25" i="1"/>
  <c r="B25" i="1"/>
  <c r="G25" i="1" s="1"/>
  <c r="E21" i="1"/>
  <c r="C21" i="1"/>
  <c r="B21" i="1"/>
  <c r="D20" i="1"/>
  <c r="C20" i="1"/>
  <c r="B20" i="1"/>
  <c r="C14" i="1"/>
  <c r="H14" i="1" s="1"/>
  <c r="B13" i="1"/>
  <c r="G13" i="1" s="1"/>
  <c r="B9" i="1"/>
  <c r="H8" i="1" s="1"/>
  <c r="D8" i="1"/>
  <c r="C8" i="1"/>
  <c r="B8" i="1"/>
  <c r="G8" i="1" s="1"/>
  <c r="D3" i="1"/>
  <c r="C3" i="1"/>
  <c r="B3" i="1"/>
  <c r="E4" i="1"/>
  <c r="B4" i="1"/>
  <c r="C4" i="1"/>
  <c r="M16" i="1"/>
  <c r="L16" i="1" a="1"/>
  <c r="L16" i="1" s="1"/>
  <c r="H9" i="1"/>
  <c r="G9" i="1" l="1"/>
  <c r="H26" i="1"/>
  <c r="H25" i="1"/>
  <c r="G14" i="1"/>
  <c r="H31" i="1"/>
  <c r="H30" i="1"/>
  <c r="G30" i="1"/>
  <c r="G31" i="1"/>
  <c r="H20" i="1"/>
  <c r="H21" i="1"/>
  <c r="G20" i="1"/>
  <c r="H13" i="1"/>
  <c r="H44" i="1" s="1"/>
  <c r="G21" i="1"/>
  <c r="G3" i="1"/>
  <c r="H3" i="1"/>
  <c r="G4" i="1"/>
  <c r="H4" i="1"/>
  <c r="G45" i="1" l="1"/>
  <c r="G36" i="1"/>
  <c r="H35" i="1"/>
  <c r="G35" i="1"/>
  <c r="H36" i="1"/>
  <c r="O4" i="1"/>
  <c r="O3" i="1"/>
  <c r="J3" i="1"/>
  <c r="L4" i="1" s="1"/>
  <c r="O21" i="1"/>
  <c r="P21" i="1"/>
  <c r="J20" i="1"/>
  <c r="O20" i="1"/>
  <c r="P4" i="1"/>
  <c r="P3" i="1" l="1"/>
  <c r="M3" i="1"/>
  <c r="P20" i="1"/>
  <c r="M21" i="1"/>
  <c r="L20" i="1"/>
  <c r="M20" i="1"/>
  <c r="L21" i="1"/>
  <c r="M4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<sst xmlns="http://schemas.openxmlformats.org/spreadsheetml/2006/main" count="82" uniqueCount="49">
  <si>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Vs a puerto 1</t>
  </si>
  <si>
    <t>V1</t>
  </si>
  <si>
    <t>v2</t>
  </si>
  <si>
    <t>i1</t>
  </si>
  <si>
    <t>i2</t>
  </si>
  <si>
    <t>vs a puerto 2</t>
  </si>
  <si>
    <t>matriz Z</t>
  </si>
  <si>
    <t>det z</t>
  </si>
  <si>
    <t>matri Y a partir de z</t>
  </si>
  <si>
    <t>matriz T a partir de z</t>
  </si>
  <si>
    <t>matriz T</t>
  </si>
  <si>
    <t>matriz Y</t>
  </si>
  <si>
    <t>v1</t>
  </si>
  <si>
    <t>voltimetro a P2</t>
  </si>
  <si>
    <t>amperimetro a P2</t>
  </si>
  <si>
    <t>vs a p2</t>
  </si>
  <si>
    <t>vs a p1</t>
  </si>
  <si>
    <t>Cuadripolo 9603</t>
  </si>
  <si>
    <t>Cuadripolo 9609</t>
  </si>
  <si>
    <t>Resistencia usad 1komh</t>
  </si>
  <si>
    <t>tension usada 10v</t>
  </si>
  <si>
    <t>se observar capacitivo</t>
  </si>
  <si>
    <t>resistencia real 980 ohm</t>
  </si>
  <si>
    <t>Reistencia de 4,7 (valor usado es de 6,8)</t>
  </si>
  <si>
    <t>Z + Z</t>
  </si>
  <si>
    <t>Z serie directo con los param</t>
  </si>
  <si>
    <t>291,821-196,8359i</t>
  </si>
  <si>
    <t>213,546-213,546i</t>
  </si>
  <si>
    <t>219,406-204,5995i</t>
  </si>
  <si>
    <t>244,7968-212,7986i</t>
  </si>
  <si>
    <t>1,94477+1,2786i</t>
  </si>
  <si>
    <t>1,6955e-4+8,209e-3 i</t>
  </si>
  <si>
    <t xml:space="preserve"> numero -407,755-375,986i</t>
  </si>
  <si>
    <t>numero -0,01972-3,0269i</t>
  </si>
  <si>
    <t>1,6214+2,23177i</t>
  </si>
  <si>
    <t>6,109e-3+0,0188i</t>
  </si>
  <si>
    <t>numero -3,9421-0,8379i</t>
  </si>
  <si>
    <t>Y directo</t>
  </si>
  <si>
    <t>8,4808e-3-5,93039e-4j</t>
  </si>
  <si>
    <t>0,013771+5,0123e-3j</t>
  </si>
  <si>
    <t>T1 .T2 a partir de los T de z</t>
  </si>
  <si>
    <t>T1 .T2 a partir de T directo</t>
  </si>
  <si>
    <t>T cascada directo</t>
  </si>
  <si>
    <t>Y+Y a partir de Y directo</t>
  </si>
  <si>
    <t>Y+Y a partir de Y de Z</t>
  </si>
  <si>
    <t>1,0439+0,21838i</t>
  </si>
  <si>
    <t>232,0875+60,028i</t>
  </si>
  <si>
    <t>7,1225e-3+4,298e-3i</t>
  </si>
  <si>
    <t>1,80899+0,77447i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</si>
</sst>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/>
    <xf numFmtId="0" fontId="0" fillId="3" borderId="6" xfId="0" applyFill="1" applyBorder="1"/>
    <xf numFmtId="0" fontId="0" fillId="0" borderId="17" xfId="0" applyBorder="1"/>
    <xf numFmtId="0" fontId="0" fillId="0" borderId="7" xfId="0" applyBorder="1"/>
    <xf numFmtId="0" fontId="0" fillId="2" borderId="18" xfId="0" applyFill="1" applyBorder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4" borderId="15" xfId="0" applyFill="1" applyBorder="1"/>
    <xf numFmtId="0" fontId="0" fillId="4" borderId="16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3" xfId="0" applyFill="1" applyBorder="1"/>
    <xf numFmtId="0" fontId="2" fillId="0" borderId="0" xfId="0" applyFont="1"/>
    <xf numFmtId="11" fontId="0" fillId="0" borderId="13" xfId="0" applyNumberFormat="1" applyBorder="1"/>
    <xf numFmtId="11" fontId="0" fillId="0" borderId="16" xfId="0" applyNumberFormat="1" applyBorder="1"/>
    <xf numFmtId="0" fontId="2" fillId="0" borderId="5" xfId="0" applyFont="1" applyBorder="1"/>
    <xf numFmtId="0" fontId="2" fillId="0" borderId="13" xfId="0" applyFont="1" applyBorder="1"/>
    <xf numFmtId="0" fontId="0" fillId="0" borderId="1" xfId="0" applyBorder="1"/>
    <xf numFmtId="0" fontId="0" fillId="0" borderId="19" xfId="0" applyBorder="1"/>
    <xf numFmtId="0" fontId="0" fillId="0" borderId="14" xfId="0" applyBorder="1"/>
    <xf numFmtId="11" fontId="0" fillId="0" borderId="15" xfId="0" applyNumberFormat="1" applyBorder="1"/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6" borderId="15" xfId="0" applyFill="1" applyBorder="1"/>
    <xf numFmtId="0" fontId="0" fillId="6" borderId="12" xfId="0" applyFill="1" applyBorder="1"/>
    <xf numFmtId="0" fontId="0" fillId="6" borderId="2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56AF-2CD5-6A4F-8D20-CCA7C8A9234E}">
  <dimension ref="A1:P54"/>
  <sheetViews>
    <sheetView tabSelected="1" topLeftCell="A4" zoomScale="65" workbookViewId="0">
      <selection activeCell="G49" sqref="G49"/>
    </sheetView>
  </sheetViews>
  <sheetFormatPr baseColWidth="10" defaultRowHeight="16" x14ac:dyDescent="0.2"/>
  <cols>
    <col min="1" max="1" width="15.33203125" customWidth="1"/>
    <col min="2" max="2" width="15.5" customWidth="1"/>
    <col min="3" max="3" width="20" customWidth="1"/>
    <col min="4" max="4" width="12.83203125" customWidth="1"/>
    <col min="7" max="7" width="49.5" customWidth="1"/>
    <col min="8" max="8" width="43.83203125" customWidth="1"/>
    <col min="10" max="10" width="30.83203125" customWidth="1"/>
    <col min="12" max="12" width="41.5" customWidth="1"/>
    <col min="13" max="13" width="26.83203125" customWidth="1"/>
    <col min="15" max="15" width="46.83203125" customWidth="1"/>
    <col min="16" max="16" width="29.1640625" customWidth="1"/>
  </cols>
  <sheetData>
    <row r="1" spans="1:16" ht="23" thickBot="1" x14ac:dyDescent="0.35">
      <c r="A1" s="20" t="s">
        <v>17</v>
      </c>
      <c r="B1" s="19"/>
    </row>
    <row r="2" spans="1:16" ht="17" thickBot="1" x14ac:dyDescent="0.25">
      <c r="A2" s="6"/>
      <c r="B2" s="7" t="s">
        <v>1</v>
      </c>
      <c r="C2" s="7" t="s">
        <v>2</v>
      </c>
      <c r="D2" s="7" t="s">
        <v>3</v>
      </c>
      <c r="E2" s="12" t="s">
        <v>4</v>
      </c>
      <c r="F2" s="3"/>
      <c r="G2" s="14" t="s">
        <v>6</v>
      </c>
      <c r="H2" s="3"/>
      <c r="I2" s="3"/>
      <c r="J2" s="1"/>
      <c r="L2" s="36" t="s">
        <v>8</v>
      </c>
      <c r="M2" s="36"/>
      <c r="O2" s="36" t="s">
        <v>9</v>
      </c>
      <c r="P2" s="36"/>
    </row>
    <row r="3" spans="1:16" ht="17" thickBot="1" x14ac:dyDescent="0.25">
      <c r="A3" s="8" t="s">
        <v>0</v>
      </c>
      <c r="B3" s="27" t="str">
        <f>IMPRODUCT(1.39, IMEXP("0+" &amp; ((-22)*PI()/180) &amp; "i"))</f>
        <v>1,28878555784784-0,520703164848118i</v>
      </c>
      <c r="C3" s="5" t="str">
        <f>IMPRODUCT(0.865, IMEXP("0+" &amp; ((-46)*PI()/180) &amp; "i"))</f>
        <v>0,600879490447033-0,622228927292933i</v>
      </c>
      <c r="D3" s="5" t="str">
        <f>IMPRODUCT(8.5/1000, IMEXP("0+" &amp; (4*PI()/180) &amp; "i"))</f>
        <v>0,0084792944272085+0,000592930026825065i</v>
      </c>
      <c r="E3" s="15">
        <v>0</v>
      </c>
      <c r="G3" s="18" t="str">
        <f>IMDIV(B3,D3)</f>
        <v>146,979261688923-71,6865757690375i</v>
      </c>
      <c r="H3" s="21" t="str">
        <f>IMDIV(B4,E4)</f>
        <v>75,3370281464387-80,7890716904898i</v>
      </c>
      <c r="I3" s="17" t="s">
        <v>7</v>
      </c>
      <c r="J3" s="11" t="str">
        <f>IMSUB(IMPRODUCT(G3,H4), IMPRODUCT(H3,G4))</f>
        <v>6643,92503330155-6159,291353027i</v>
      </c>
      <c r="L3" s="24" t="str">
        <f>IMDIV(H4,J3)</f>
        <v>0,0145468923700676-0,00157201494640015i</v>
      </c>
      <c r="M3" s="21" t="str">
        <f>IMPRODUCT(-1,IMDIV(H3,J3))</f>
        <v>-0,0121607444389315+0,000886148412556995i</v>
      </c>
      <c r="O3" s="24" t="str">
        <f>IMDIV(G3,G4)</f>
        <v>1,13831297616764+0,436957412164886i</v>
      </c>
      <c r="P3" s="21" t="str">
        <f>IMDIV(J3,G4)</f>
        <v>67,3719432575045+4,90936561230484i</v>
      </c>
    </row>
    <row r="4" spans="1:16" ht="17" thickBot="1" x14ac:dyDescent="0.25">
      <c r="A4" s="9" t="s">
        <v>5</v>
      </c>
      <c r="B4" s="27" t="str">
        <f>IMPRODUCT(0.95, IMEXP("0+" &amp; ((-41)*PI()/180) &amp; "i"))</f>
        <v>0,716974101211633-0,623256077540982i</v>
      </c>
      <c r="C4" s="27" t="str">
        <f>IMPRODUCT(1.14, IMEXP("0+" &amp; ((-43)*PI()/180) &amp; "i"))</f>
        <v>0,833743219845854-0,777478130471249i</v>
      </c>
      <c r="D4" s="10">
        <v>0</v>
      </c>
      <c r="E4" s="13" t="str">
        <f>IMPRODUCT(0.0086, IMEXP("0+" &amp; (6*PI()/180) &amp; "i"))</f>
        <v>0,00855288830016715+0,000898944784101824i</v>
      </c>
      <c r="F4" s="4"/>
      <c r="G4" s="23" t="str">
        <f>IMDIV(C4,D3)</f>
        <v>91,4680153495586-98,0874376289242i</v>
      </c>
      <c r="H4" s="22" t="str">
        <f>IMDIV(C4,E4)</f>
        <v>86,9659643080439-100,042897843484i</v>
      </c>
      <c r="I4" s="4"/>
      <c r="J4" s="2"/>
      <c r="L4" s="23" t="str">
        <f>IMPRODUCT(IMDIV(G4,J3),-1)</f>
        <v>-0,0147645744246792+0,00107588842559861i</v>
      </c>
      <c r="M4" s="22" t="str">
        <f>IMDIV(G3,J3)</f>
        <v>0,017276824077433+0,00522679247655621i</v>
      </c>
      <c r="O4" s="23" t="str">
        <f>IMDIV(1,G4)</f>
        <v>0,00508507549169406+0,0054530758454061i</v>
      </c>
      <c r="P4" s="22" t="str">
        <f>IMDIV(H4,G4)</f>
        <v>0,987770003449106-0,03449368860131i</v>
      </c>
    </row>
    <row r="6" spans="1:16" ht="17" thickBot="1" x14ac:dyDescent="0.25"/>
    <row r="7" spans="1:16" ht="17" thickBot="1" x14ac:dyDescent="0.25">
      <c r="A7" s="6"/>
      <c r="B7" s="7" t="s">
        <v>12</v>
      </c>
      <c r="C7" s="7" t="s">
        <v>2</v>
      </c>
      <c r="D7" s="7" t="s">
        <v>3</v>
      </c>
      <c r="E7" s="12" t="s">
        <v>4</v>
      </c>
      <c r="F7" s="3"/>
      <c r="G7" s="14" t="s">
        <v>10</v>
      </c>
      <c r="H7" s="3"/>
      <c r="I7" s="3"/>
      <c r="J7" s="1"/>
    </row>
    <row r="8" spans="1:16" x14ac:dyDescent="0.2">
      <c r="A8" s="8" t="s">
        <v>13</v>
      </c>
      <c r="B8" s="27" t="str">
        <f>IMPRODUCT(1.39, IMEXP("0+" &amp; ((-22)*PI()/180) &amp; "i"))</f>
        <v>1,28878555784784-0,520703164848118i</v>
      </c>
      <c r="C8" s="5" t="str">
        <f>IMPRODUCT(0.865, IMEXP("0+" &amp; ((-46)*PI()/180) &amp; "i"))</f>
        <v>0,600879490447033-0,622228927292933i</v>
      </c>
      <c r="D8" s="5" t="str">
        <f>IMPRODUCT(8.5/1000, IMEXP("0+" &amp; (4*PI()/180) &amp; "i"))</f>
        <v>0,0084792944272085+0,000592930026825065i</v>
      </c>
      <c r="E8" s="15">
        <v>0</v>
      </c>
      <c r="G8" s="25" t="str">
        <f>IMDIV(B8,C8)</f>
        <v>1,46800946372627+0,653599923555336i</v>
      </c>
      <c r="H8" s="40">
        <f>-IMDIV(B9,E9)</f>
        <v>107.037037037037</v>
      </c>
      <c r="J8" s="16"/>
      <c r="L8" t="s">
        <v>19</v>
      </c>
    </row>
    <row r="9" spans="1:16" ht="17" thickBot="1" x14ac:dyDescent="0.25">
      <c r="A9" s="9" t="s">
        <v>14</v>
      </c>
      <c r="B9" s="10" t="str">
        <f>IMPRODUCT(0.85, IMEXP("0+" &amp; (0*PI()/180) &amp; "i"))</f>
        <v>0,85</v>
      </c>
      <c r="C9" s="10">
        <v>0</v>
      </c>
      <c r="D9" s="28">
        <v>8.5000000000000006E-3</v>
      </c>
      <c r="E9" s="13">
        <f>-(0.054)/6.8</f>
        <v>-7.9411764705882362E-3</v>
      </c>
      <c r="F9" s="4"/>
      <c r="G9" s="26" t="str">
        <f>IMDIV(D8,C8)</f>
        <v>0,00631641003738218+0,00752760435434833i</v>
      </c>
      <c r="H9" s="41">
        <f>-IMDIV(D9,E9)</f>
        <v>1.07037037037037</v>
      </c>
      <c r="I9" s="4"/>
      <c r="J9" s="2"/>
      <c r="L9" t="s">
        <v>20</v>
      </c>
    </row>
    <row r="11" spans="1:16" ht="17" thickBot="1" x14ac:dyDescent="0.25"/>
    <row r="12" spans="1:16" ht="17" thickBot="1" x14ac:dyDescent="0.25">
      <c r="A12" s="6"/>
      <c r="B12" s="7" t="s">
        <v>12</v>
      </c>
      <c r="C12" s="7" t="s">
        <v>2</v>
      </c>
      <c r="D12" s="7" t="s">
        <v>3</v>
      </c>
      <c r="E12" s="12" t="s">
        <v>4</v>
      </c>
      <c r="F12" s="3"/>
      <c r="G12" s="14" t="s">
        <v>11</v>
      </c>
      <c r="H12" s="3"/>
      <c r="I12" s="3"/>
      <c r="J12" s="1"/>
    </row>
    <row r="13" spans="1:16" ht="17" thickBot="1" x14ac:dyDescent="0.25">
      <c r="A13" s="8" t="s">
        <v>16</v>
      </c>
      <c r="B13" s="10" t="str">
        <f>IMPRODUCT(0.85, IMEXP("0+" &amp; (0*PI()/180) &amp; "i"))</f>
        <v>0,85</v>
      </c>
      <c r="C13" s="5">
        <v>0</v>
      </c>
      <c r="D13" s="28">
        <v>8.5000000000000006E-3</v>
      </c>
      <c r="E13" s="13">
        <f>-(0.054)/6.8</f>
        <v>-7.9411764705882362E-3</v>
      </c>
      <c r="G13" s="24" t="str">
        <f>IMDIV(D13,B13)</f>
        <v>0,01</v>
      </c>
      <c r="H13" s="38" t="str">
        <f>IMDIV(D14,C14)</f>
        <v>-0,00789926284142395-0,000552370267204607i</v>
      </c>
      <c r="J13" s="16"/>
    </row>
    <row r="14" spans="1:16" ht="17" thickBot="1" x14ac:dyDescent="0.25">
      <c r="A14" s="9" t="s">
        <v>15</v>
      </c>
      <c r="B14" s="10">
        <v>0</v>
      </c>
      <c r="C14" s="10" t="str">
        <f>IMPRODUCT(0.65, IMEXP("0+" &amp; ((-24)*PI()/180) &amp; "i"))</f>
        <v>0,593804547467691-0,26437881799927i</v>
      </c>
      <c r="D14" s="10" t="str">
        <f>IMPRODUCT((-0.035)/6.8, IMEXP("0+" &amp; ((-20)*PI()/180) &amp; "i"))</f>
        <v>-0,00483665319522159+0,00176039779652918i</v>
      </c>
      <c r="E14" s="29">
        <v>9.1000000000000004E-3</v>
      </c>
      <c r="F14" s="4"/>
      <c r="G14" s="39" t="str">
        <f>IMDIV(E13,B13)</f>
        <v>-0,00934256055363322</v>
      </c>
      <c r="H14" s="22" t="str">
        <f>IMDIV(E14,C14)</f>
        <v>0,0127896364069964+0,0056943130030612i</v>
      </c>
      <c r="I14" s="4"/>
      <c r="J14" s="2"/>
    </row>
    <row r="16" spans="1:16" x14ac:dyDescent="0.2">
      <c r="L16" t="e" cm="1">
        <f t="array" ref="L16">IMPRODUCT(modo, IMEXP("0+" &amp; (fase*PI()/180) &amp; "i"))</f>
        <v>#NAME?</v>
      </c>
      <c r="M16" t="str">
        <f>IMPRODUCT(10, IMEXP("0+" &amp; (0*PI()/180) &amp; "i"))</f>
        <v>10</v>
      </c>
    </row>
    <row r="18" spans="1:16" ht="23" thickBot="1" x14ac:dyDescent="0.35">
      <c r="A18" s="20" t="s">
        <v>18</v>
      </c>
      <c r="B18" s="19"/>
      <c r="C18" s="37" t="s">
        <v>21</v>
      </c>
      <c r="D18" s="37"/>
    </row>
    <row r="19" spans="1:16" ht="17" thickBot="1" x14ac:dyDescent="0.25">
      <c r="A19" s="6"/>
      <c r="B19" s="7" t="s">
        <v>1</v>
      </c>
      <c r="C19" s="7" t="s">
        <v>2</v>
      </c>
      <c r="D19" s="7" t="s">
        <v>3</v>
      </c>
      <c r="E19" s="12" t="s">
        <v>4</v>
      </c>
      <c r="F19" s="3"/>
      <c r="G19" s="14" t="s">
        <v>6</v>
      </c>
      <c r="H19" s="3"/>
      <c r="I19" s="3"/>
      <c r="J19" s="1"/>
      <c r="L19" s="36" t="s">
        <v>8</v>
      </c>
      <c r="M19" s="36"/>
      <c r="O19" s="36" t="s">
        <v>9</v>
      </c>
      <c r="P19" s="36"/>
    </row>
    <row r="20" spans="1:16" ht="17" thickBot="1" x14ac:dyDescent="0.25">
      <c r="A20" s="8" t="s">
        <v>0</v>
      </c>
      <c r="B20" s="30" t="str">
        <f>IMPRODUCT(1.875, IMEXP("0+" &amp; ((-30)*PI()/180) &amp; "i"))</f>
        <v>1,62379763209582-0,9375i</v>
      </c>
      <c r="C20" s="5" t="str">
        <f>IMPRODUCT(1.25, IMEXP("0+" &amp; ((-58)*PI()/180) &amp; "i"))</f>
        <v>0,662399080291508-1,06006012019553i</v>
      </c>
      <c r="D20" s="5" t="str">
        <f>IMPRODUCT(8/1000, IMEXP("0+" &amp; (7*PI()/180) &amp; "i"))</f>
        <v>0,00794036921313058+0,000974954747241176i</v>
      </c>
      <c r="E20" s="15">
        <v>0</v>
      </c>
      <c r="G20" s="18" t="str">
        <f>IMDIV(B20,D20)</f>
        <v>187,180197667334-141,050396051261i</v>
      </c>
      <c r="H20" s="21" t="str">
        <f>IMDIV(B21,E21)</f>
        <v>70,8599935905633-145,284517073016i</v>
      </c>
      <c r="I20" s="17" t="s">
        <v>7</v>
      </c>
      <c r="J20" s="11" t="str">
        <f>IMSUB(IMPRODUCT(G20,H21), IMPRODUCT(H20,G21))</f>
        <v>40288,2929617124-19980,405780135i</v>
      </c>
      <c r="L20" s="24" t="str">
        <f>IMDIV(H21,J20)</f>
        <v>0,00798217854599741+0,000471217148782751i</v>
      </c>
      <c r="M20" s="21" t="str">
        <f>IMPRODUCT(-1,IMDIV(H20,J20))</f>
        <v>-0,00284700190630425+0,00219419233801366i</v>
      </c>
      <c r="O20" s="24" t="str">
        <f>IMDIV(G20,G21)</f>
        <v>0,695978617703737-0,160679324531332i</v>
      </c>
      <c r="P20" s="21" t="str">
        <f>IMDIV(J20,G21)</f>
        <v>136,935467293413-5,68772238566712i</v>
      </c>
    </row>
    <row r="21" spans="1:16" ht="17" thickBot="1" x14ac:dyDescent="0.25">
      <c r="A21" s="9" t="s">
        <v>5</v>
      </c>
      <c r="B21" s="31" t="str">
        <f>IMPRODUCT(1.18, IMEXP("0+" &amp; ((-58)*PI()/180) &amp; "i"))</f>
        <v>0,625304731795183-1,00069675346458i</v>
      </c>
      <c r="C21" s="31" t="str">
        <f>IMPRODUCT(2.625, IMEXP("0+" &amp; ((-17)*PI()/180) &amp; "i"))</f>
        <v>2,51029998440297-0,767475724897185i</v>
      </c>
      <c r="D21" s="10">
        <v>0</v>
      </c>
      <c r="E21" s="13" t="str">
        <f>IMPRODUCT(0.0073, IMEXP("0+" &amp; ((6)*PI()/180) &amp; "i"))</f>
        <v>0,00726000983618839+0,000763057781853874i</v>
      </c>
      <c r="F21" s="4"/>
      <c r="G21" s="23" t="str">
        <f>IMDIV(C21,D20)</f>
        <v>299,757103288979-133,460461009247i</v>
      </c>
      <c r="H21" s="22" t="str">
        <f>IMDIV(C21,E21)</f>
        <v>331,003457577077-140,502631819774i</v>
      </c>
      <c r="I21" s="4"/>
      <c r="J21" s="2"/>
      <c r="L21" s="23" t="str">
        <f>IMPRODUCT(IMDIV(G21,J20),-1)</f>
        <v>-0,00729013285895305-0,000302801404748625i</v>
      </c>
      <c r="M21" s="22" t="str">
        <f>IMDIV(G20,J20)</f>
        <v>0,00512243051523288-0,000960630320404545i</v>
      </c>
      <c r="O21" s="23" t="str">
        <f>IMDIV(1,G21)</f>
        <v>0,00278413853757745+0,00123957834080244i</v>
      </c>
      <c r="P21" s="22" t="str">
        <f>IMDIV(H21,G21)</f>
        <v>1,09572350154125+0,0191259248627743i</v>
      </c>
    </row>
    <row r="23" spans="1:16" ht="17" thickBot="1" x14ac:dyDescent="0.25"/>
    <row r="24" spans="1:16" ht="17" thickBot="1" x14ac:dyDescent="0.25">
      <c r="A24" s="6"/>
      <c r="B24" s="7" t="s">
        <v>12</v>
      </c>
      <c r="C24" s="7" t="s">
        <v>2</v>
      </c>
      <c r="D24" s="7" t="s">
        <v>3</v>
      </c>
      <c r="E24" s="12" t="s">
        <v>4</v>
      </c>
      <c r="F24" s="3"/>
      <c r="G24" s="14" t="s">
        <v>10</v>
      </c>
      <c r="H24" s="3"/>
      <c r="I24" s="3"/>
      <c r="J24" s="1"/>
    </row>
    <row r="25" spans="1:16" x14ac:dyDescent="0.2">
      <c r="A25" s="8" t="s">
        <v>13</v>
      </c>
      <c r="B25" s="30" t="str">
        <f>IMPRODUCT(1.875, IMEXP("0+" &amp; ((-30)*PI()/180) &amp; "i"))</f>
        <v>1,62379763209582-0,9375i</v>
      </c>
      <c r="C25" s="5" t="str">
        <f>IMPRODUCT(1.25, IMEXP("0+" &amp; ((-58)*PI()/180) &amp; "i"))</f>
        <v>0,662399080291508-1,06006012019553i</v>
      </c>
      <c r="D25" s="5" t="str">
        <f>IMPRODUCT(8/1000, IMEXP("0+" &amp; (7*PI()/180) &amp; "i"))</f>
        <v>0,00794036921313058+0,000974954747241176i</v>
      </c>
      <c r="E25" s="15">
        <v>0</v>
      </c>
      <c r="G25" s="25" t="str">
        <f>IMDIV(B25,C25)</f>
        <v>1,32442138928839+0,704207344178832i</v>
      </c>
      <c r="H25" s="40" t="str">
        <f>IMPRODUCT(IMDIV(B26,E26),-1)</f>
        <v>468,206808519501+143,145186632252i</v>
      </c>
      <c r="J25" s="16"/>
      <c r="L25" t="s">
        <v>19</v>
      </c>
      <c r="M25" t="s">
        <v>22</v>
      </c>
    </row>
    <row r="26" spans="1:16" ht="17" thickBot="1" x14ac:dyDescent="0.25">
      <c r="A26" s="9" t="s">
        <v>14</v>
      </c>
      <c r="B26" s="10" t="str">
        <f>IMPRODUCT(1.8, IMEXP("0+" &amp; ((-16)*PI()/180) &amp; "i"))</f>
        <v>1,73027105268897-0,496147240470598i</v>
      </c>
      <c r="C26" s="10">
        <v>0</v>
      </c>
      <c r="D26" s="28" t="str">
        <f>IMPRODUCT(0.008, IMEXP("0+" &amp; ((4)*PI()/180) &amp; "i"))</f>
        <v>0,00798051240207859+0,000558051789953002i</v>
      </c>
      <c r="E26" s="13" t="str">
        <f>IMPRODUCT((-0.025)/6.8, IMEXP("0+" &amp; ((-33)*PI()/180) &amp; "i"))</f>
        <v>-0,00308334767626994+0,0020023493934376i</v>
      </c>
      <c r="F26" s="4"/>
      <c r="G26" s="26" t="str">
        <f>IMDIV(D25,C25)</f>
        <v>0,0027047568751405+0,00580036983703456i</v>
      </c>
      <c r="H26" s="41" t="str">
        <f>IMPRODUCT(-1,IMDIV(D26,E26))</f>
        <v>1,73783086986291+1,30954949037886i</v>
      </c>
      <c r="I26" s="4"/>
      <c r="J26" s="2"/>
      <c r="L26" t="s">
        <v>20</v>
      </c>
    </row>
    <row r="27" spans="1:16" x14ac:dyDescent="0.2">
      <c r="L27" t="s">
        <v>23</v>
      </c>
    </row>
    <row r="28" spans="1:16" ht="17" thickBot="1" x14ac:dyDescent="0.25"/>
    <row r="29" spans="1:16" ht="17" thickBot="1" x14ac:dyDescent="0.25">
      <c r="A29" s="6"/>
      <c r="B29" s="7" t="s">
        <v>12</v>
      </c>
      <c r="C29" s="7" t="s">
        <v>2</v>
      </c>
      <c r="D29" s="7" t="s">
        <v>3</v>
      </c>
      <c r="E29" s="12" t="s">
        <v>4</v>
      </c>
      <c r="F29" s="3"/>
      <c r="G29" s="14" t="s">
        <v>11</v>
      </c>
      <c r="H29" s="3"/>
      <c r="I29" s="3"/>
      <c r="J29" s="1"/>
    </row>
    <row r="30" spans="1:16" ht="17" thickBot="1" x14ac:dyDescent="0.25">
      <c r="A30" s="8" t="s">
        <v>16</v>
      </c>
      <c r="B30" s="10" t="str">
        <f>IMPRODUCT(1.8, IMEXP("0+" &amp; ((-16)*PI()/180) &amp; "i"))</f>
        <v>1,73027105268897-0,496147240470598i</v>
      </c>
      <c r="C30" s="5">
        <v>0</v>
      </c>
      <c r="D30" s="28" t="str">
        <f>IMPRODUCT(0.008, IMEXP("0+" &amp; ((4)*PI()/180) &amp; "i"))</f>
        <v>0,00798051240207859+0,000558051789953002i</v>
      </c>
      <c r="E30" s="13" t="str">
        <f>IMPRODUCT((-0.025)/6.8, IMEXP("0+" &amp; ((-33)*PI()/180) &amp; "i"))</f>
        <v>-0,00308334767626994+0,0020023493934376i</v>
      </c>
      <c r="G30" s="24" t="str">
        <f>IMDIV(D30,B30)</f>
        <v>0,00417641164793738+0,00152008952589187i</v>
      </c>
      <c r="H30" s="38" t="str">
        <f>IMDIV(D31,C31)</f>
        <v>-0,00262732804846232+0,000322595320778334i</v>
      </c>
      <c r="J30" s="16"/>
    </row>
    <row r="31" spans="1:16" ht="17" thickBot="1" x14ac:dyDescent="0.25">
      <c r="A31" s="9" t="s">
        <v>15</v>
      </c>
      <c r="B31" s="10">
        <v>0</v>
      </c>
      <c r="C31" t="str">
        <f>IMPRODUCT(2.5, IMEXP("0+" &amp; ((-4)*PI()/180) &amp; "i"))</f>
        <v>2,49391012564956-0,174391184360313i</v>
      </c>
      <c r="D31" s="10" t="str">
        <f>IMPRODUCT((-0.045)/6.8, IMEXP("0+" &amp; ((-11)*PI()/180) &amp; "i"))</f>
        <v>-0,00649606224340366+0,00126270658705067i</v>
      </c>
      <c r="E31" s="29">
        <v>7.3000000000000001E-3</v>
      </c>
      <c r="F31" s="4"/>
      <c r="G31" s="39" t="str">
        <f>IMDIV(E30,B30)</f>
        <v>-0,0019532368381598+0,000597164429580754i</v>
      </c>
      <c r="H31" s="22" t="str">
        <f>IMDIV(E31,C31)</f>
        <v>0,00291288702675869+0,000203688903332846i</v>
      </c>
      <c r="I31" s="4"/>
      <c r="J31" s="2"/>
    </row>
    <row r="33" spans="7:11" ht="17" thickBot="1" x14ac:dyDescent="0.25"/>
    <row r="34" spans="7:11" ht="17" thickBot="1" x14ac:dyDescent="0.25">
      <c r="G34" s="32" t="s">
        <v>24</v>
      </c>
      <c r="H34" s="1"/>
      <c r="J34" s="32" t="s">
        <v>41</v>
      </c>
      <c r="K34" s="1"/>
    </row>
    <row r="35" spans="7:11" x14ac:dyDescent="0.2">
      <c r="G35" s="6" t="str">
        <f>IMSUM(G3,G20)</f>
        <v>334,159459356257-212,736971820298i</v>
      </c>
      <c r="H35" s="12" t="str">
        <f>IMSUM(H3,H20)</f>
        <v>146,197021737002-226,073588763506i</v>
      </c>
      <c r="J35" s="6" t="s">
        <v>30</v>
      </c>
      <c r="K35" s="12" t="s">
        <v>32</v>
      </c>
    </row>
    <row r="36" spans="7:11" ht="17" thickBot="1" x14ac:dyDescent="0.25">
      <c r="G36" s="9" t="str">
        <f>IMSUM(G4,G21)</f>
        <v>391,225118638538-231,547898638171i</v>
      </c>
      <c r="H36" s="13" t="str">
        <f>IMSUM(H4,H21)</f>
        <v>417,969421885121-240,545529663258i</v>
      </c>
      <c r="J36" s="9" t="s">
        <v>31</v>
      </c>
      <c r="K36" s="13" t="s">
        <v>33</v>
      </c>
    </row>
    <row r="37" spans="7:11" ht="17" thickBot="1" x14ac:dyDescent="0.25"/>
    <row r="38" spans="7:11" ht="17" thickBot="1" x14ac:dyDescent="0.25">
      <c r="G38" s="32" t="s">
        <v>25</v>
      </c>
      <c r="H38" s="1"/>
      <c r="J38" s="33" t="s">
        <v>42</v>
      </c>
      <c r="K38" s="34"/>
    </row>
    <row r="39" spans="7:11" x14ac:dyDescent="0.2">
      <c r="G39" s="6" t="s">
        <v>26</v>
      </c>
      <c r="H39" s="12" t="s">
        <v>28</v>
      </c>
      <c r="J39" s="6" t="s">
        <v>34</v>
      </c>
      <c r="K39" s="12">
        <v>-614.60900000000004</v>
      </c>
    </row>
    <row r="40" spans="7:11" ht="17" thickBot="1" x14ac:dyDescent="0.25">
      <c r="G40" s="9" t="s">
        <v>27</v>
      </c>
      <c r="H40" s="13" t="s">
        <v>29</v>
      </c>
      <c r="J40" s="9" t="s">
        <v>35</v>
      </c>
      <c r="K40" s="13" t="s">
        <v>36</v>
      </c>
    </row>
    <row r="42" spans="7:11" ht="17" thickBot="1" x14ac:dyDescent="0.25"/>
    <row r="43" spans="7:11" ht="17" thickBot="1" x14ac:dyDescent="0.25">
      <c r="G43" s="32" t="s">
        <v>43</v>
      </c>
      <c r="H43" s="1"/>
      <c r="J43" s="32" t="s">
        <v>40</v>
      </c>
      <c r="K43" s="1"/>
    </row>
    <row r="44" spans="7:11" x14ac:dyDescent="0.2">
      <c r="G44" s="6" t="str">
        <f>IMSUM(G13,G30)</f>
        <v>0,0141764116479374+0,00152008952589187i</v>
      </c>
      <c r="H44" s="38" t="str">
        <f>IMSUM(H13,H30)</f>
        <v>-0,0105265908898863-0,000229774946426273i</v>
      </c>
      <c r="J44" s="6" t="s">
        <v>45</v>
      </c>
      <c r="K44" s="12" t="s">
        <v>46</v>
      </c>
    </row>
    <row r="45" spans="7:11" ht="17" thickBot="1" x14ac:dyDescent="0.25">
      <c r="G45" s="39" t="str">
        <f>IMSUM(G14,G31)</f>
        <v>-0,011295797391793+0,000597164429580754i</v>
      </c>
      <c r="H45" s="13" t="str">
        <f>IMSUM(H14,H31)</f>
        <v>0,0157025234337551+0,00589800190639405i</v>
      </c>
      <c r="J45" s="9" t="s">
        <v>47</v>
      </c>
      <c r="K45" s="13" t="s">
        <v>48</v>
      </c>
    </row>
    <row r="46" spans="7:11" ht="17" thickBot="1" x14ac:dyDescent="0.25"/>
    <row r="47" spans="7:11" ht="17" thickBot="1" x14ac:dyDescent="0.25">
      <c r="G47" s="32" t="s">
        <v>37</v>
      </c>
      <c r="H47" s="1"/>
    </row>
    <row r="48" spans="7:11" x14ac:dyDescent="0.2">
      <c r="G48" s="6">
        <v>1.40625E-2</v>
      </c>
      <c r="H48" s="35">
        <v>8.6206000000000008E-3</v>
      </c>
    </row>
    <row r="49" spans="7:8" ht="17" thickBot="1" x14ac:dyDescent="0.25">
      <c r="G49" s="9" t="s">
        <v>38</v>
      </c>
      <c r="H49" s="13" t="s">
        <v>39</v>
      </c>
    </row>
    <row r="51" spans="7:8" ht="17" thickBot="1" x14ac:dyDescent="0.25"/>
    <row r="52" spans="7:8" ht="17" thickBot="1" x14ac:dyDescent="0.25">
      <c r="G52" s="32" t="s">
        <v>44</v>
      </c>
      <c r="H52" s="1"/>
    </row>
    <row r="53" spans="7:8" x14ac:dyDescent="0.2">
      <c r="G53" s="6" t="str">
        <f>IMSUM(L3,L20)</f>
        <v>0,022529070916065-0,0011007977976174i</v>
      </c>
      <c r="H53" s="12" t="str">
        <f>IMSUM(M3,M20)</f>
        <v>-0,0150077463452358+0,00308034075057065i</v>
      </c>
    </row>
    <row r="54" spans="7:8" ht="17" thickBot="1" x14ac:dyDescent="0.25">
      <c r="G54" s="9" t="str">
        <f>IMSUM(L4,L21)</f>
        <v>-0,0220547072836322+0,000773087020849985i</v>
      </c>
      <c r="H54" s="13" t="str">
        <f>IMSUM(M4,M21)</f>
        <v>0,0223992545926659+0,00426616215615166i</v>
      </c>
    </row>
  </sheetData>
  <mergeCells count="5">
    <mergeCell ref="L2:M2"/>
    <mergeCell ref="O2:P2"/>
    <mergeCell ref="L19:M19"/>
    <mergeCell ref="O19:P19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Bautista Correa Uranga</dc:creator>
  <cp:lastModifiedBy>Juan Bautista Correa Uranga</cp:lastModifiedBy>
  <dcterms:created xsi:type="dcterms:W3CDTF">2025-10-15T18:34:04Z</dcterms:created>
  <dcterms:modified xsi:type="dcterms:W3CDTF">2025-10-30T21:57:14Z</dcterms:modified>
</cp:coreProperties>
</file>