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yvr\Documents\COURS EXCEL DC2019\"/>
    </mc:Choice>
  </mc:AlternateContent>
  <xr:revisionPtr revIDLastSave="0" documentId="8_{3C642753-2C95-4C99-9181-F5D4B7337412}" xr6:coauthVersionLast="45" xr6:coauthVersionMax="45" xr10:uidLastSave="{00000000-0000-0000-0000-000000000000}"/>
  <bookViews>
    <workbookView xWindow="3975" yWindow="1590" windowWidth="13995" windowHeight="13500" xr2:uid="{4068F6AA-FB89-432F-AE7C-ED6EBE151437}"/>
  </bookViews>
  <sheets>
    <sheet name="Devis" sheetId="1" r:id="rId1"/>
    <sheet name="Liste des clients" sheetId="2" r:id="rId2"/>
    <sheet name="ListProduit" sheetId="3" r:id="rId3"/>
  </sheets>
  <definedNames>
    <definedName name="ClientInexistant">Devis!$O$4</definedName>
    <definedName name="CodeProduit">Devis!$B$14:$B$23</definedName>
    <definedName name="codeTVA">Devis!$F$27:$F$29</definedName>
    <definedName name="DateDevis">Devis!$C$10</definedName>
    <definedName name="InfoClient">Devis!$N$5:$N$9</definedName>
    <definedName name="MontantHorsTaxe">Devis!$H$13:$H$24</definedName>
    <definedName name="MontantTTC">Devis!$J$13:$J$24</definedName>
    <definedName name="MontantTVA">Devis!$I$13:$I$24</definedName>
    <definedName name="NumeroClient">Devis!$D$10</definedName>
    <definedName name="NumeroDevis">Devis!$B$10</definedName>
    <definedName name="PlageTVA">Devis!$F$27:$G$29</definedName>
    <definedName name="TauxTVA">Devis!$G$27:$G$29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7" i="1" l="1"/>
  <c r="P18" i="1"/>
  <c r="P20" i="1"/>
  <c r="P21" i="1"/>
  <c r="P22" i="1"/>
  <c r="P23" i="1"/>
  <c r="O17" i="1"/>
  <c r="O18" i="1"/>
  <c r="O19" i="1"/>
  <c r="O20" i="1"/>
  <c r="O21" i="1"/>
  <c r="O22" i="1"/>
  <c r="O23" i="1"/>
  <c r="N15" i="1"/>
  <c r="N16" i="1"/>
  <c r="N17" i="1"/>
  <c r="N18" i="1"/>
  <c r="G18" i="1" s="1"/>
  <c r="N19" i="1"/>
  <c r="N20" i="1"/>
  <c r="N21" i="1"/>
  <c r="N22" i="1"/>
  <c r="G22" i="1" s="1"/>
  <c r="N23" i="1"/>
  <c r="N14" i="1"/>
  <c r="R6" i="1" s="1"/>
  <c r="G20" i="1"/>
  <c r="G21" i="1"/>
  <c r="G19" i="1"/>
  <c r="P37" i="1"/>
  <c r="P38" i="1"/>
  <c r="P39" i="1"/>
  <c r="P40" i="1"/>
  <c r="P41" i="1"/>
  <c r="P42" i="1"/>
  <c r="P43" i="1"/>
  <c r="P44" i="1"/>
  <c r="P45" i="1"/>
  <c r="P36" i="1"/>
  <c r="O37" i="1"/>
  <c r="O38" i="1"/>
  <c r="O39" i="1"/>
  <c r="O40" i="1"/>
  <c r="O41" i="1"/>
  <c r="O42" i="1"/>
  <c r="O43" i="1"/>
  <c r="O44" i="1"/>
  <c r="O45" i="1"/>
  <c r="O36" i="1"/>
  <c r="C14" i="1" s="1"/>
  <c r="R5" i="1"/>
  <c r="E23" i="1"/>
  <c r="H23" i="1" s="1"/>
  <c r="N6" i="1"/>
  <c r="N7" i="1"/>
  <c r="N8" i="1"/>
  <c r="N9" i="1"/>
  <c r="N5" i="1"/>
  <c r="G15" i="1"/>
  <c r="G16" i="1"/>
  <c r="G17" i="1"/>
  <c r="G23" i="1"/>
  <c r="G14" i="1" l="1"/>
  <c r="Q23" i="1"/>
  <c r="J23" i="1" s="1"/>
  <c r="N3" i="1"/>
  <c r="J3" i="1" s="1"/>
  <c r="M1" i="1"/>
  <c r="F1" i="1" s="1"/>
  <c r="I23" i="1" l="1"/>
  <c r="O4" i="1"/>
  <c r="O5" i="1" s="1"/>
  <c r="O8" i="1" l="1"/>
  <c r="O7" i="1"/>
  <c r="G6" i="1" s="1"/>
  <c r="O6" i="1"/>
  <c r="G5" i="1" s="1"/>
  <c r="O9" i="1"/>
  <c r="G7" i="1" l="1"/>
  <c r="E15" i="1"/>
  <c r="O15" i="1" s="1"/>
  <c r="H15" i="1" l="1"/>
  <c r="E22" i="1"/>
  <c r="E17" i="1"/>
  <c r="C20" i="1"/>
  <c r="C23" i="1"/>
  <c r="C21" i="1"/>
  <c r="C22" i="1"/>
  <c r="E19" i="1"/>
  <c r="E20" i="1"/>
  <c r="E21" i="1"/>
  <c r="C16" i="1"/>
  <c r="C15" i="1"/>
  <c r="C17" i="1"/>
  <c r="C19" i="1"/>
  <c r="C18" i="1"/>
  <c r="E16" i="1"/>
  <c r="O16" i="1" s="1"/>
  <c r="E18" i="1"/>
  <c r="P15" i="1" l="1"/>
  <c r="I15" i="1" s="1"/>
  <c r="H18" i="1"/>
  <c r="H17" i="1"/>
  <c r="I17" i="1" s="1"/>
  <c r="H20" i="1"/>
  <c r="I20" i="1" s="1"/>
  <c r="H22" i="1"/>
  <c r="I22" i="1" s="1"/>
  <c r="H16" i="1"/>
  <c r="P16" i="1" s="1"/>
  <c r="H21" i="1"/>
  <c r="I21" i="1" s="1"/>
  <c r="H19" i="1"/>
  <c r="P19" i="1" s="1"/>
  <c r="Q15" i="1" l="1"/>
  <c r="J15" i="1" s="1"/>
  <c r="Q22" i="1"/>
  <c r="J22" i="1" s="1"/>
  <c r="Q19" i="1"/>
  <c r="J19" i="1" s="1"/>
  <c r="Q20" i="1"/>
  <c r="J20" i="1" s="1"/>
  <c r="Q21" i="1"/>
  <c r="J21" i="1" s="1"/>
  <c r="Q17" i="1"/>
  <c r="J17" i="1" s="1"/>
  <c r="O29" i="1"/>
  <c r="O28" i="1"/>
  <c r="I19" i="1" l="1"/>
  <c r="I16" i="1"/>
  <c r="Q16" i="1"/>
  <c r="J16" i="1" s="1"/>
  <c r="I18" i="1"/>
  <c r="Q18" i="1"/>
  <c r="J18" i="1" s="1"/>
  <c r="P29" i="1"/>
  <c r="H29" i="1"/>
  <c r="H28" i="1"/>
  <c r="P28" i="1"/>
  <c r="I28" i="1" l="1"/>
  <c r="Q28" i="1"/>
  <c r="J28" i="1" s="1"/>
  <c r="Q29" i="1"/>
  <c r="J29" i="1" s="1"/>
  <c r="I29" i="1"/>
  <c r="E14" i="1"/>
  <c r="O14" i="1" s="1"/>
  <c r="H14" i="1" l="1"/>
  <c r="P14" i="1" s="1"/>
  <c r="O27" i="1" l="1"/>
  <c r="I14" i="1" l="1"/>
  <c r="Q14" i="1"/>
  <c r="J14" i="1" s="1"/>
  <c r="P27" i="1"/>
  <c r="H27" i="1"/>
  <c r="Q31" i="1"/>
  <c r="J31" i="1" s="1"/>
  <c r="I27" i="1" l="1"/>
  <c r="Q27" i="1"/>
  <c r="Q32" i="1"/>
  <c r="J32" i="1" s="1"/>
  <c r="Q33" i="1" l="1"/>
  <c r="J33" i="1" s="1"/>
  <c r="J27" i="1"/>
</calcChain>
</file>

<file path=xl/sharedStrings.xml><?xml version="1.0" encoding="utf-8"?>
<sst xmlns="http://schemas.openxmlformats.org/spreadsheetml/2006/main" count="115" uniqueCount="89">
  <si>
    <t>DIGITAL CODER international business</t>
  </si>
  <si>
    <t>421 Chemin lagourgue</t>
  </si>
  <si>
    <t>97440 SAINT ANDRE</t>
  </si>
  <si>
    <t>à</t>
  </si>
  <si>
    <t>NODEV</t>
  </si>
  <si>
    <t>DATE DEVIS</t>
  </si>
  <si>
    <t>NO CLIENT</t>
  </si>
  <si>
    <t>CODE</t>
  </si>
  <si>
    <t>DESIGNATION</t>
  </si>
  <si>
    <t>QTE</t>
  </si>
  <si>
    <t>PUHT</t>
  </si>
  <si>
    <t>CTVA</t>
  </si>
  <si>
    <t>TXTVA</t>
  </si>
  <si>
    <t>MTHT</t>
  </si>
  <si>
    <t>MTTVA</t>
  </si>
  <si>
    <t>MTTTC</t>
  </si>
  <si>
    <t>BASE HT</t>
  </si>
  <si>
    <t>MT TVA</t>
  </si>
  <si>
    <t>MT TTC</t>
  </si>
  <si>
    <t>TOTAL HORS TAXES</t>
  </si>
  <si>
    <t>TOTAL TVA</t>
  </si>
  <si>
    <t>TOTAL TTC</t>
  </si>
  <si>
    <t>vélo</t>
  </si>
  <si>
    <t>trotinette</t>
  </si>
  <si>
    <t>batterie</t>
  </si>
  <si>
    <t>velo electrique</t>
  </si>
  <si>
    <t>pompe à vélo</t>
  </si>
  <si>
    <t>Colonne2</t>
  </si>
  <si>
    <t>Colonne3</t>
  </si>
  <si>
    <t>Colonne4</t>
  </si>
  <si>
    <t>Colonne5</t>
  </si>
  <si>
    <t>Colonne6</t>
  </si>
  <si>
    <t>QUINZE</t>
  </si>
  <si>
    <t>SAINT PIERRE</t>
  </si>
  <si>
    <t>CLIENT INEXISTANT</t>
  </si>
  <si>
    <t>CAZAL</t>
  </si>
  <si>
    <t>Océane</t>
  </si>
  <si>
    <t>CHECCHI</t>
  </si>
  <si>
    <t>Sébastien</t>
  </si>
  <si>
    <t>DAMOUR</t>
  </si>
  <si>
    <t>Iris</t>
  </si>
  <si>
    <t>Céliane</t>
  </si>
  <si>
    <t>DEMERY</t>
  </si>
  <si>
    <t>Ingrid</t>
  </si>
  <si>
    <t>DENNEMONT</t>
  </si>
  <si>
    <t>Bruno</t>
  </si>
  <si>
    <t>DIEMUNSCH</t>
  </si>
  <si>
    <t>Clément</t>
  </si>
  <si>
    <t>HOARAU</t>
  </si>
  <si>
    <t>Aurélie</t>
  </si>
  <si>
    <t>LAW-SHUN</t>
  </si>
  <si>
    <t>Nicolas</t>
  </si>
  <si>
    <t>LUVAR</t>
  </si>
  <si>
    <t>Dimitri</t>
  </si>
  <si>
    <t>MARSAT</t>
  </si>
  <si>
    <t>Anthony</t>
  </si>
  <si>
    <t>NAZE</t>
  </si>
  <si>
    <t>Romain</t>
  </si>
  <si>
    <t>PICARD</t>
  </si>
  <si>
    <t>Sylvain</t>
  </si>
  <si>
    <t>YAN-SIN-HA-YEUNG</t>
  </si>
  <si>
    <t>Laily</t>
  </si>
  <si>
    <t>Code</t>
  </si>
  <si>
    <t>ALAIN</t>
  </si>
  <si>
    <t>15 rue des cocos</t>
  </si>
  <si>
    <t>16 rue des cocos</t>
  </si>
  <si>
    <t>17 rue des cocos</t>
  </si>
  <si>
    <t>18 rue des cocos</t>
  </si>
  <si>
    <t>19 rue des cocos</t>
  </si>
  <si>
    <t>20 rue des cocos</t>
  </si>
  <si>
    <t>21 rue des cocos</t>
  </si>
  <si>
    <t>22 rue des cocos</t>
  </si>
  <si>
    <t>23 rue des cocos</t>
  </si>
  <si>
    <t>24 rue des cocos</t>
  </si>
  <si>
    <t>25 rue des cocos</t>
  </si>
  <si>
    <t>26 rue des cocos</t>
  </si>
  <si>
    <t>27 rue des cocos</t>
  </si>
  <si>
    <t>28 rue des cocos</t>
  </si>
  <si>
    <t>14 rue des cocos</t>
  </si>
  <si>
    <t>TVA INDEX</t>
  </si>
  <si>
    <t>CodeClient</t>
  </si>
  <si>
    <t>MTTC</t>
  </si>
  <si>
    <t>TOTAL HT</t>
  </si>
  <si>
    <t>PU HT</t>
  </si>
  <si>
    <t>Pedale double</t>
  </si>
  <si>
    <t>Selle sport</t>
  </si>
  <si>
    <t>Guidon VTT</t>
  </si>
  <si>
    <t>produit</t>
  </si>
  <si>
    <t>liste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</si>
</sst>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13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0.45"/>
      <color rgb="FF212529"/>
      <name val="Segoe U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3" xfId="0" applyFont="1" applyBorder="1"/>
    <xf numFmtId="0" fontId="3" fillId="0" borderId="6" xfId="0" applyFont="1" applyBorder="1"/>
    <xf numFmtId="0" fontId="0" fillId="0" borderId="11" xfId="0" applyBorder="1"/>
    <xf numFmtId="0" fontId="0" fillId="0" borderId="12" xfId="0" applyBorder="1"/>
    <xf numFmtId="0" fontId="4" fillId="0" borderId="7" xfId="0" applyFont="1" applyBorder="1"/>
    <xf numFmtId="0" fontId="0" fillId="0" borderId="0" xfId="0" applyBorder="1"/>
    <xf numFmtId="0" fontId="0" fillId="0" borderId="10" xfId="0" applyBorder="1"/>
    <xf numFmtId="0" fontId="4" fillId="0" borderId="8" xfId="0" applyFont="1" applyBorder="1"/>
    <xf numFmtId="0" fontId="0" fillId="0" borderId="13" xfId="0" applyBorder="1"/>
    <xf numFmtId="0" fontId="0" fillId="0" borderId="14" xfId="0" applyBorder="1"/>
    <xf numFmtId="0" fontId="2" fillId="0" borderId="11" xfId="0" applyFont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1" fillId="0" borderId="3" xfId="0" applyNumberFormat="1" applyFont="1" applyBorder="1" applyAlignment="1">
      <alignment horizontal="right"/>
    </xf>
    <xf numFmtId="2" fontId="0" fillId="0" borderId="3" xfId="0" applyNumberFormat="1" applyBorder="1" applyAlignment="1">
      <alignment horizontal="right" indent="1"/>
    </xf>
    <xf numFmtId="2" fontId="0" fillId="0" borderId="4" xfId="0" applyNumberFormat="1" applyBorder="1" applyAlignment="1">
      <alignment horizontal="right" indent="1"/>
    </xf>
    <xf numFmtId="2" fontId="1" fillId="0" borderId="3" xfId="0" applyNumberFormat="1" applyFont="1" applyBorder="1" applyAlignment="1">
      <alignment horizontal="right" indent="1"/>
    </xf>
    <xf numFmtId="2" fontId="0" fillId="0" borderId="1" xfId="0" applyNumberFormat="1" applyBorder="1" applyAlignment="1">
      <alignment horizontal="right" inden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0" xfId="0" applyFill="1"/>
    <xf numFmtId="0" fontId="6" fillId="0" borderId="10" xfId="0" applyFont="1" applyBorder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Border="1"/>
    <xf numFmtId="0" fontId="7" fillId="0" borderId="0" xfId="0" applyFont="1" applyAlignment="1">
      <alignment horizontal="center"/>
    </xf>
    <xf numFmtId="0" fontId="8" fillId="0" borderId="15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5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2" fontId="0" fillId="0" borderId="0" xfId="0" applyNumberFormat="1"/>
    <xf numFmtId="0" fontId="0" fillId="0" borderId="5" xfId="0" applyBorder="1"/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4" fontId="0" fillId="0" borderId="7" xfId="0" applyNumberFormat="1" applyBorder="1" applyAlignment="1">
      <alignment horizontal="center"/>
    </xf>
    <xf numFmtId="0" fontId="0" fillId="4" borderId="0" xfId="0" applyFill="1"/>
    <xf numFmtId="2" fontId="0" fillId="0" borderId="2" xfId="0" applyNumberFormat="1" applyBorder="1" applyAlignment="1"/>
    <xf numFmtId="2" fontId="0" fillId="0" borderId="3" xfId="0" applyNumberFormat="1" applyBorder="1" applyAlignment="1"/>
    <xf numFmtId="2" fontId="0" fillId="0" borderId="0" xfId="0" applyNumberFormat="1" applyAlignment="1"/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447675</xdr:colOff>
      <xdr:row>1</xdr:row>
      <xdr:rowOff>874</xdr:rowOff>
    </xdr:to>
    <xdr:pic>
      <xdr:nvPicPr>
        <xdr:cNvPr id="2" name="Image 1" descr="logoDC">
          <a:extLst>
            <a:ext uri="{FF2B5EF4-FFF2-40B4-BE49-F238E27FC236}">
              <a16:creationId xmlns:a16="http://schemas.microsoft.com/office/drawing/2014/main" id="{BAC6973E-AF5F-4DD3-A923-523B9A5F0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1" y="0"/>
          <a:ext cx="923924" cy="762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BB0B81-5F6C-48B9-8B68-82C921E72495}" name="ListClients" displayName="ListClients" ref="A1:F61" totalsRowShown="0">
  <autoFilter ref="A1:F61" xr:uid="{E75E0E60-E93D-4E61-973B-B8E03E90E5F7}"/>
  <tableColumns count="6">
    <tableColumn id="1" xr3:uid="{083EE453-2FED-4004-A2C9-DCAF841B0139}" name="Code"/>
    <tableColumn id="2" xr3:uid="{75815093-8569-4C49-9B4A-CF274EFC0F35}" name="Colonne2"/>
    <tableColumn id="3" xr3:uid="{4B3A32FF-D276-4B13-BCC7-35B6EC9F3997}" name="Colonne3"/>
    <tableColumn id="4" xr3:uid="{C8AA38F6-2A44-47FB-B58F-F7A06F0010C7}" name="Colonne4"/>
    <tableColumn id="5" xr3:uid="{554A54CC-46AF-4DA2-930B-0A2682455459}" name="Colonne5"/>
    <tableColumn id="6" xr3:uid="{A4F41595-0944-4508-9D9A-887FFC4228F0}" name="Colonne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63DFEC-ABA6-4DA6-AA3B-8EED07495215}" name="ListProduit" displayName="ListProduit" ref="A1:C9" totalsRowShown="0" dataDxfId="2">
  <autoFilter ref="A1:C9" xr:uid="{D176A779-A909-4D3B-AE51-FE7BF98EB084}"/>
  <tableColumns count="3">
    <tableColumn id="1" xr3:uid="{3AB32A12-C9ED-4CED-AD08-7531C53A3741}" name="CODE" dataDxfId="3"/>
    <tableColumn id="2" xr3:uid="{8FCEA884-5CA7-4F44-8057-6EE6D584E9C9}" name="DESIGNATION" dataDxfId="0"/>
    <tableColumn id="4" xr3:uid="{623E9169-1C9C-4BC3-B568-5A9F0139BE77}" name="PU H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6F1EB-C8CD-4C11-8451-39ED221B4232}">
  <dimension ref="A1:T45"/>
  <sheetViews>
    <sheetView tabSelected="1" zoomScale="70" zoomScaleNormal="70" workbookViewId="0">
      <selection activeCell="E19" sqref="E19"/>
    </sheetView>
  </sheetViews>
  <sheetFormatPr baseColWidth="10" defaultRowHeight="15" x14ac:dyDescent="0.25"/>
  <cols>
    <col min="1" max="1" width="2.85546875" customWidth="1"/>
    <col min="2" max="2" width="7.140625" customWidth="1"/>
    <col min="3" max="3" width="15.7109375" customWidth="1"/>
    <col min="4" max="4" width="5.7109375" customWidth="1"/>
    <col min="6" max="6" width="5.7109375" customWidth="1"/>
    <col min="7" max="7" width="7.140625" customWidth="1"/>
    <col min="9" max="9" width="9.28515625" customWidth="1"/>
    <col min="10" max="10" width="15.7109375" customWidth="1"/>
    <col min="12" max="12" width="2.85546875" hidden="1" customWidth="1"/>
    <col min="13" max="13" width="7.140625" hidden="1" customWidth="1"/>
    <col min="14" max="19" width="11.42578125" hidden="1" customWidth="1"/>
    <col min="20" max="20" width="2.85546875" hidden="1" customWidth="1"/>
  </cols>
  <sheetData>
    <row r="1" spans="1:20" ht="60" customHeight="1" x14ac:dyDescent="0.7">
      <c r="A1" s="3"/>
      <c r="B1" s="8"/>
      <c r="C1" s="8"/>
      <c r="D1" s="8"/>
      <c r="E1" s="8"/>
      <c r="F1" s="16" t="str">
        <f>M1</f>
        <v>DEVIS N°512</v>
      </c>
      <c r="G1" s="8"/>
      <c r="H1" s="8"/>
      <c r="I1" s="8"/>
      <c r="J1" s="9"/>
      <c r="L1" s="33"/>
      <c r="M1" t="str">
        <f>"DEVIS N°"&amp;NumeroDevis</f>
        <v>DEVIS N°512</v>
      </c>
      <c r="O1" s="37" t="s">
        <v>34</v>
      </c>
      <c r="T1" s="33"/>
    </row>
    <row r="2" spans="1:20" ht="16.5" customHeight="1" x14ac:dyDescent="0.25">
      <c r="A2" s="4"/>
      <c r="B2" s="36" t="s">
        <v>0</v>
      </c>
      <c r="C2" s="36"/>
      <c r="D2" s="11"/>
      <c r="E2" s="11"/>
      <c r="F2" s="11"/>
      <c r="G2" s="11"/>
      <c r="H2" s="11"/>
      <c r="I2" s="11"/>
      <c r="J2" s="12"/>
      <c r="L2" s="33"/>
      <c r="T2" s="33"/>
    </row>
    <row r="3" spans="1:20" ht="16.5" customHeight="1" x14ac:dyDescent="0.25">
      <c r="A3" s="4"/>
      <c r="B3" s="36" t="s">
        <v>1</v>
      </c>
      <c r="C3" s="36"/>
      <c r="D3" s="11"/>
      <c r="E3" s="11"/>
      <c r="F3" s="11"/>
      <c r="G3" s="11"/>
      <c r="H3" s="11"/>
      <c r="I3" s="11"/>
      <c r="J3" s="34" t="str">
        <f>N3</f>
        <v>Ce devis est valable 30 jours calendaires, jusqu au 06 novembre 2019</v>
      </c>
      <c r="L3" s="33"/>
      <c r="N3" s="35" t="str">
        <f>"Ce devis est valable 30 jours calendaires, jusqu au"&amp;" "&amp;(TEXT(DateDevis+30,"jj mmmm aaaa"))</f>
        <v>Ce devis est valable 30 jours calendaires, jusqu au 06 novembre 2019</v>
      </c>
      <c r="P3" s="35"/>
      <c r="Q3" s="35"/>
      <c r="R3" s="35"/>
      <c r="S3" s="35"/>
      <c r="T3" s="33"/>
    </row>
    <row r="4" spans="1:20" ht="16.5" customHeight="1" x14ac:dyDescent="0.25">
      <c r="A4" s="4"/>
      <c r="B4" s="36" t="s">
        <v>2</v>
      </c>
      <c r="C4" s="36"/>
      <c r="D4" s="11"/>
      <c r="E4" s="11"/>
      <c r="F4" s="11"/>
      <c r="G4" s="11"/>
      <c r="H4" s="11"/>
      <c r="I4" s="11"/>
      <c r="J4" s="12"/>
      <c r="L4" s="33"/>
      <c r="N4" s="43" t="s">
        <v>80</v>
      </c>
      <c r="O4" t="b">
        <f>ISNA(N5)</f>
        <v>0</v>
      </c>
      <c r="T4" s="33"/>
    </row>
    <row r="5" spans="1:20" ht="21" x14ac:dyDescent="0.35">
      <c r="A5" s="4"/>
      <c r="B5" s="11"/>
      <c r="C5" s="11"/>
      <c r="D5" s="11"/>
      <c r="E5" s="11"/>
      <c r="F5" s="11" t="s">
        <v>3</v>
      </c>
      <c r="G5" s="7" t="str">
        <f>O5&amp;" "&amp;O6</f>
        <v>ALAIN QUINZE</v>
      </c>
      <c r="H5" s="8"/>
      <c r="I5" s="8"/>
      <c r="J5" s="9"/>
      <c r="L5" s="33"/>
      <c r="M5" s="3">
        <v>3</v>
      </c>
      <c r="N5" s="8" t="str">
        <f>VLOOKUP(NumeroClient,ListClients[],M5,FALSE)</f>
        <v>ALAIN</v>
      </c>
      <c r="O5" s="9" t="str">
        <f>IF(ClientInexistant,O1,N5)</f>
        <v>ALAIN</v>
      </c>
      <c r="R5" t="b">
        <f>ISERROR(B14:J23)</f>
        <v>1</v>
      </c>
      <c r="T5" s="33"/>
    </row>
    <row r="6" spans="1:20" ht="17.25" x14ac:dyDescent="0.3">
      <c r="A6" s="4"/>
      <c r="B6" s="11"/>
      <c r="C6" s="11"/>
      <c r="D6" s="11"/>
      <c r="E6" s="11"/>
      <c r="F6" s="11"/>
      <c r="G6" s="10" t="str">
        <f>O7</f>
        <v>15 rue des cocos</v>
      </c>
      <c r="H6" s="11"/>
      <c r="I6" s="11"/>
      <c r="J6" s="12"/>
      <c r="L6" s="33"/>
      <c r="M6" s="4">
        <v>2</v>
      </c>
      <c r="N6" s="8" t="str">
        <f>VLOOKUP(NumeroClient,ListClients[],M6,FALSE)</f>
        <v>QUINZE</v>
      </c>
      <c r="O6" s="12" t="str">
        <f>IF($O$4," ",N6)</f>
        <v>QUINZE</v>
      </c>
      <c r="R6">
        <f>IFERROR(N14," ")</f>
        <v>0.1</v>
      </c>
      <c r="T6" s="33"/>
    </row>
    <row r="7" spans="1:20" ht="17.25" x14ac:dyDescent="0.3">
      <c r="A7" s="4"/>
      <c r="B7" s="11"/>
      <c r="C7" s="11"/>
      <c r="D7" s="11"/>
      <c r="E7" s="11"/>
      <c r="F7" s="11"/>
      <c r="G7" s="13" t="str">
        <f>O8&amp;" "&amp;O9</f>
        <v>97410 SAINT PIERRE</v>
      </c>
      <c r="H7" s="14"/>
      <c r="I7" s="14"/>
      <c r="J7" s="15"/>
      <c r="L7" s="33"/>
      <c r="M7" s="4">
        <v>4</v>
      </c>
      <c r="N7" s="8" t="str">
        <f>VLOOKUP(NumeroClient,ListClients[],M7,FALSE)</f>
        <v>15 rue des cocos</v>
      </c>
      <c r="O7" s="12" t="str">
        <f>IF($O$4," ",N7)</f>
        <v>15 rue des cocos</v>
      </c>
      <c r="T7" s="33"/>
    </row>
    <row r="8" spans="1:20" x14ac:dyDescent="0.25">
      <c r="A8" s="4"/>
      <c r="B8" s="11"/>
      <c r="C8" s="11"/>
      <c r="D8" s="11"/>
      <c r="E8" s="11"/>
      <c r="F8" s="11"/>
      <c r="G8" s="11"/>
      <c r="H8" s="11"/>
      <c r="I8" s="11"/>
      <c r="J8" s="12"/>
      <c r="L8" s="33"/>
      <c r="M8" s="4">
        <v>5</v>
      </c>
      <c r="N8" s="8">
        <f>VLOOKUP(NumeroClient,ListClients[],M8,FALSE)</f>
        <v>97410</v>
      </c>
      <c r="O8" s="12">
        <f>IF($O$4," ",N8)</f>
        <v>97410</v>
      </c>
      <c r="T8" s="33"/>
    </row>
    <row r="9" spans="1:20" x14ac:dyDescent="0.25">
      <c r="A9" s="4"/>
      <c r="B9" s="17" t="s">
        <v>4</v>
      </c>
      <c r="C9" s="17" t="s">
        <v>5</v>
      </c>
      <c r="D9" s="39" t="s">
        <v>6</v>
      </c>
      <c r="E9" s="39"/>
      <c r="F9" s="11"/>
      <c r="G9" s="11"/>
      <c r="H9" s="11"/>
      <c r="I9" s="11"/>
      <c r="J9" s="12"/>
      <c r="L9" s="33"/>
      <c r="M9" s="5">
        <v>6</v>
      </c>
      <c r="N9" s="8" t="str">
        <f>VLOOKUP(NumeroClient,ListClients[],M9,FALSE)</f>
        <v>SAINT PIERRE</v>
      </c>
      <c r="O9" s="15" t="str">
        <f>IF($O$4," ",N9)</f>
        <v>SAINT PIERRE</v>
      </c>
      <c r="T9" s="33"/>
    </row>
    <row r="10" spans="1:20" x14ac:dyDescent="0.25">
      <c r="A10" s="4"/>
      <c r="B10" s="31">
        <v>512</v>
      </c>
      <c r="C10" s="32">
        <v>43745</v>
      </c>
      <c r="D10" s="40">
        <v>15</v>
      </c>
      <c r="E10" s="40"/>
      <c r="F10" s="11"/>
      <c r="G10" s="11"/>
      <c r="H10" s="11"/>
      <c r="I10" s="11"/>
      <c r="J10" s="12"/>
      <c r="L10" s="33"/>
      <c r="T10" s="33"/>
    </row>
    <row r="11" spans="1:20" x14ac:dyDescent="0.25">
      <c r="A11" s="4"/>
      <c r="B11" s="11"/>
      <c r="C11" s="11"/>
      <c r="D11" s="11"/>
      <c r="E11" s="11"/>
      <c r="F11" s="11"/>
      <c r="G11" s="11"/>
      <c r="H11" s="11"/>
      <c r="I11" s="11"/>
      <c r="J11" s="12"/>
      <c r="L11" s="33"/>
      <c r="T11" s="33"/>
    </row>
    <row r="12" spans="1:20" x14ac:dyDescent="0.25">
      <c r="A12" s="4"/>
      <c r="B12" s="17" t="s">
        <v>7</v>
      </c>
      <c r="C12" s="17" t="s">
        <v>8</v>
      </c>
      <c r="D12" s="17" t="s">
        <v>9</v>
      </c>
      <c r="E12" s="18" t="s">
        <v>10</v>
      </c>
      <c r="F12" s="17" t="s">
        <v>11</v>
      </c>
      <c r="G12" s="17" t="s">
        <v>12</v>
      </c>
      <c r="H12" s="17" t="s">
        <v>13</v>
      </c>
      <c r="I12" s="17" t="s">
        <v>14</v>
      </c>
      <c r="J12" s="17" t="s">
        <v>15</v>
      </c>
      <c r="L12" s="33"/>
      <c r="N12" s="47" t="s">
        <v>79</v>
      </c>
      <c r="O12" s="49" t="s">
        <v>13</v>
      </c>
      <c r="P12" s="47" t="s">
        <v>14</v>
      </c>
      <c r="Q12" s="47" t="s">
        <v>81</v>
      </c>
      <c r="T12" s="33"/>
    </row>
    <row r="13" spans="1:20" ht="3" hidden="1" customHeight="1" x14ac:dyDescent="0.25">
      <c r="A13" s="4"/>
      <c r="B13" s="19"/>
      <c r="C13" s="6"/>
      <c r="D13" s="19"/>
      <c r="E13" s="26"/>
      <c r="F13" s="19"/>
      <c r="G13" s="22"/>
      <c r="H13" s="29"/>
      <c r="I13" s="24"/>
      <c r="J13" s="29"/>
      <c r="L13" s="33"/>
      <c r="T13" s="33"/>
    </row>
    <row r="14" spans="1:20" x14ac:dyDescent="0.25">
      <c r="A14" s="4"/>
      <c r="B14" s="46">
        <v>10</v>
      </c>
      <c r="C14" s="1" t="str">
        <f>O36</f>
        <v>vélo</v>
      </c>
      <c r="D14" s="61">
        <v>2</v>
      </c>
      <c r="E14" s="27">
        <f>P36</f>
        <v>200</v>
      </c>
      <c r="F14" s="45">
        <v>1</v>
      </c>
      <c r="G14" s="22">
        <f>N14</f>
        <v>0.1</v>
      </c>
      <c r="H14" s="27">
        <f>O14</f>
        <v>400</v>
      </c>
      <c r="I14" s="55">
        <f>P14</f>
        <v>40</v>
      </c>
      <c r="J14" s="27">
        <f>Q14</f>
        <v>440</v>
      </c>
      <c r="L14" s="33"/>
      <c r="N14" s="63">
        <f>IFERROR(INDEX(PlageTVA,F14,2)," ")</f>
        <v>0.1</v>
      </c>
      <c r="O14" s="48">
        <f>IFERROR(D14*E14," ")</f>
        <v>400</v>
      </c>
      <c r="P14" s="48">
        <f>IFERROR(G14*H14," ")</f>
        <v>40</v>
      </c>
      <c r="Q14" s="48">
        <f>SUM(O14,P14)</f>
        <v>440</v>
      </c>
      <c r="T14" s="33"/>
    </row>
    <row r="15" spans="1:20" x14ac:dyDescent="0.25">
      <c r="A15" s="4"/>
      <c r="B15" s="46">
        <v>20</v>
      </c>
      <c r="C15" s="1" t="str">
        <f t="shared" ref="C15:C23" si="0">O37</f>
        <v>trotinette</v>
      </c>
      <c r="D15" s="62">
        <v>10</v>
      </c>
      <c r="E15" s="27">
        <f t="shared" ref="E15:E23" si="1">P37</f>
        <v>80</v>
      </c>
      <c r="F15" s="46">
        <v>1</v>
      </c>
      <c r="G15" s="22">
        <f t="shared" ref="G15:G23" si="2">N15</f>
        <v>0.1</v>
      </c>
      <c r="H15" s="27">
        <f t="shared" ref="H15:H23" si="3">O15</f>
        <v>800</v>
      </c>
      <c r="I15" s="55">
        <f t="shared" ref="I15:I23" si="4">P15</f>
        <v>80</v>
      </c>
      <c r="J15" s="27">
        <f t="shared" ref="J15:J23" si="5">Q15</f>
        <v>880</v>
      </c>
      <c r="L15" s="33"/>
      <c r="N15" s="63">
        <f>IFERROR(INDEX(PlageTVA,F15,2)," ")</f>
        <v>0.1</v>
      </c>
      <c r="O15" s="48">
        <f t="shared" ref="O15:O23" si="6">IFERROR(D15*E15," ")</f>
        <v>800</v>
      </c>
      <c r="P15" s="48">
        <f t="shared" ref="P15:P23" si="7">IFERROR(G15*H15," ")</f>
        <v>80</v>
      </c>
      <c r="Q15" s="48">
        <f t="shared" ref="Q15:Q23" si="8">SUM(O15,P15)</f>
        <v>880</v>
      </c>
      <c r="T15" s="33"/>
    </row>
    <row r="16" spans="1:20" x14ac:dyDescent="0.25">
      <c r="A16" s="4"/>
      <c r="B16" s="46">
        <v>305</v>
      </c>
      <c r="C16" s="1" t="str">
        <f t="shared" si="0"/>
        <v>batterie</v>
      </c>
      <c r="D16" s="62">
        <v>2</v>
      </c>
      <c r="E16" s="27">
        <f t="shared" si="1"/>
        <v>200</v>
      </c>
      <c r="F16" s="46">
        <v>3</v>
      </c>
      <c r="G16" s="22">
        <f t="shared" si="2"/>
        <v>0</v>
      </c>
      <c r="H16" s="27">
        <f t="shared" si="3"/>
        <v>400</v>
      </c>
      <c r="I16" s="55">
        <f t="shared" si="4"/>
        <v>0</v>
      </c>
      <c r="J16" s="27">
        <f t="shared" si="5"/>
        <v>400</v>
      </c>
      <c r="L16" s="33"/>
      <c r="N16" s="63">
        <f>IFERROR(INDEX(PlageTVA,F16,2)," ")</f>
        <v>0</v>
      </c>
      <c r="O16" s="48">
        <f t="shared" si="6"/>
        <v>400</v>
      </c>
      <c r="P16" s="48">
        <f t="shared" si="7"/>
        <v>0</v>
      </c>
      <c r="Q16" s="48">
        <f t="shared" si="8"/>
        <v>400</v>
      </c>
      <c r="T16" s="33"/>
    </row>
    <row r="17" spans="1:20" x14ac:dyDescent="0.25">
      <c r="A17" s="4"/>
      <c r="B17" s="46">
        <v>287</v>
      </c>
      <c r="C17" s="1" t="str">
        <f t="shared" si="0"/>
        <v>velo electrique</v>
      </c>
      <c r="D17" s="62">
        <v>1</v>
      </c>
      <c r="E17" s="27">
        <f t="shared" si="1"/>
        <v>1500</v>
      </c>
      <c r="F17" s="46">
        <v>3</v>
      </c>
      <c r="G17" s="22">
        <f t="shared" si="2"/>
        <v>0</v>
      </c>
      <c r="H17" s="27">
        <f t="shared" si="3"/>
        <v>1500</v>
      </c>
      <c r="I17" s="55">
        <f t="shared" si="4"/>
        <v>0</v>
      </c>
      <c r="J17" s="27">
        <f t="shared" si="5"/>
        <v>1500</v>
      </c>
      <c r="L17" s="33"/>
      <c r="N17" s="63">
        <f>IFERROR(INDEX(PlageTVA,F17,2)," ")</f>
        <v>0</v>
      </c>
      <c r="O17" s="48">
        <f t="shared" si="6"/>
        <v>1500</v>
      </c>
      <c r="P17" s="48">
        <f t="shared" si="7"/>
        <v>0</v>
      </c>
      <c r="Q17" s="48">
        <f t="shared" si="8"/>
        <v>1500</v>
      </c>
      <c r="T17" s="33"/>
    </row>
    <row r="18" spans="1:20" x14ac:dyDescent="0.25">
      <c r="A18" s="4"/>
      <c r="B18" s="46">
        <v>12</v>
      </c>
      <c r="C18" s="1" t="str">
        <f t="shared" si="0"/>
        <v>pompe à vélo</v>
      </c>
      <c r="D18" s="62">
        <v>40</v>
      </c>
      <c r="E18" s="27">
        <f t="shared" si="1"/>
        <v>5</v>
      </c>
      <c r="F18" s="46">
        <v>2</v>
      </c>
      <c r="G18" s="22">
        <f t="shared" si="2"/>
        <v>0.05</v>
      </c>
      <c r="H18" s="27">
        <f t="shared" si="3"/>
        <v>200</v>
      </c>
      <c r="I18" s="55">
        <f t="shared" si="4"/>
        <v>10</v>
      </c>
      <c r="J18" s="27">
        <f t="shared" si="5"/>
        <v>210</v>
      </c>
      <c r="L18" s="33"/>
      <c r="N18" s="63">
        <f>IFERROR(INDEX(PlageTVA,F18,2)," ")</f>
        <v>0.05</v>
      </c>
      <c r="O18" s="48">
        <f t="shared" si="6"/>
        <v>200</v>
      </c>
      <c r="P18" s="48">
        <f t="shared" si="7"/>
        <v>10</v>
      </c>
      <c r="Q18" s="48">
        <f t="shared" si="8"/>
        <v>210</v>
      </c>
      <c r="T18" s="33"/>
    </row>
    <row r="19" spans="1:20" x14ac:dyDescent="0.25">
      <c r="A19" s="4"/>
      <c r="B19" s="46">
        <v>18</v>
      </c>
      <c r="C19" s="1" t="str">
        <f t="shared" si="0"/>
        <v>Pedale double</v>
      </c>
      <c r="D19" s="62">
        <v>1</v>
      </c>
      <c r="E19" s="27">
        <f t="shared" si="1"/>
        <v>25</v>
      </c>
      <c r="F19" s="20"/>
      <c r="G19" s="22" t="str">
        <f t="shared" si="2"/>
        <v xml:space="preserve"> </v>
      </c>
      <c r="H19" s="27">
        <f t="shared" si="3"/>
        <v>25</v>
      </c>
      <c r="I19" s="55" t="str">
        <f t="shared" si="4"/>
        <v xml:space="preserve"> </v>
      </c>
      <c r="J19" s="27">
        <f t="shared" si="5"/>
        <v>25</v>
      </c>
      <c r="L19" s="33"/>
      <c r="N19" s="63" t="str">
        <f>IFERROR(INDEX(PlageTVA,F19,2)," ")</f>
        <v xml:space="preserve"> </v>
      </c>
      <c r="O19" s="48">
        <f t="shared" si="6"/>
        <v>25</v>
      </c>
      <c r="P19" s="48" t="str">
        <f t="shared" si="7"/>
        <v xml:space="preserve"> </v>
      </c>
      <c r="Q19" s="48">
        <f>SUM(O19,P19)</f>
        <v>25</v>
      </c>
      <c r="T19" s="33"/>
    </row>
    <row r="20" spans="1:20" x14ac:dyDescent="0.25">
      <c r="A20" s="4"/>
      <c r="B20" s="46">
        <v>25</v>
      </c>
      <c r="C20" s="1" t="str">
        <f t="shared" si="0"/>
        <v>Selle sport</v>
      </c>
      <c r="D20" s="62"/>
      <c r="E20" s="27">
        <f t="shared" si="1"/>
        <v>80</v>
      </c>
      <c r="F20" s="20"/>
      <c r="G20" s="22" t="str">
        <f t="shared" si="2"/>
        <v xml:space="preserve"> </v>
      </c>
      <c r="H20" s="27">
        <f t="shared" si="3"/>
        <v>0</v>
      </c>
      <c r="I20" s="55" t="str">
        <f t="shared" si="4"/>
        <v xml:space="preserve"> </v>
      </c>
      <c r="J20" s="27">
        <f t="shared" si="5"/>
        <v>0</v>
      </c>
      <c r="L20" s="33"/>
      <c r="N20" s="63" t="str">
        <f>IFERROR(INDEX(PlageTVA,F20,2)," ")</f>
        <v xml:space="preserve"> </v>
      </c>
      <c r="O20" s="48">
        <f t="shared" si="6"/>
        <v>0</v>
      </c>
      <c r="P20" s="48" t="str">
        <f t="shared" si="7"/>
        <v xml:space="preserve"> </v>
      </c>
      <c r="Q20" s="48">
        <f t="shared" si="8"/>
        <v>0</v>
      </c>
      <c r="T20" s="33"/>
    </row>
    <row r="21" spans="1:20" x14ac:dyDescent="0.25">
      <c r="A21" s="4"/>
      <c r="B21" s="46">
        <v>299</v>
      </c>
      <c r="C21" s="1" t="str">
        <f t="shared" si="0"/>
        <v>Guidon VTT</v>
      </c>
      <c r="D21" s="62"/>
      <c r="E21" s="27">
        <f t="shared" si="1"/>
        <v>120</v>
      </c>
      <c r="F21" s="20"/>
      <c r="G21" s="22" t="str">
        <f t="shared" si="2"/>
        <v xml:space="preserve"> </v>
      </c>
      <c r="H21" s="27">
        <f t="shared" si="3"/>
        <v>0</v>
      </c>
      <c r="I21" s="55" t="str">
        <f t="shared" si="4"/>
        <v xml:space="preserve"> </v>
      </c>
      <c r="J21" s="27">
        <f t="shared" si="5"/>
        <v>0</v>
      </c>
      <c r="L21" s="33"/>
      <c r="N21" s="63" t="str">
        <f>IFERROR(INDEX(PlageTVA,F21,2)," ")</f>
        <v xml:space="preserve"> </v>
      </c>
      <c r="O21" s="48">
        <f t="shared" si="6"/>
        <v>0</v>
      </c>
      <c r="P21" s="48" t="str">
        <f t="shared" si="7"/>
        <v xml:space="preserve"> </v>
      </c>
      <c r="Q21" s="48">
        <f t="shared" si="8"/>
        <v>0</v>
      </c>
      <c r="T21" s="33"/>
    </row>
    <row r="22" spans="1:20" x14ac:dyDescent="0.25">
      <c r="A22" s="4"/>
      <c r="B22" s="46"/>
      <c r="C22" s="1" t="str">
        <f t="shared" si="0"/>
        <v xml:space="preserve"> </v>
      </c>
      <c r="D22" s="62"/>
      <c r="E22" s="27" t="str">
        <f t="shared" si="1"/>
        <v xml:space="preserve"> </v>
      </c>
      <c r="F22" s="20"/>
      <c r="G22" s="22" t="str">
        <f t="shared" si="2"/>
        <v xml:space="preserve"> </v>
      </c>
      <c r="H22" s="27" t="str">
        <f t="shared" si="3"/>
        <v xml:space="preserve"> </v>
      </c>
      <c r="I22" s="55" t="str">
        <f t="shared" si="4"/>
        <v xml:space="preserve"> </v>
      </c>
      <c r="J22" s="27">
        <f t="shared" si="5"/>
        <v>0</v>
      </c>
      <c r="L22" s="33"/>
      <c r="N22" s="63" t="str">
        <f>IFERROR(INDEX(PlageTVA,F22,2)," ")</f>
        <v xml:space="preserve"> </v>
      </c>
      <c r="O22" s="48" t="str">
        <f t="shared" si="6"/>
        <v xml:space="preserve"> </v>
      </c>
      <c r="P22" s="48" t="str">
        <f t="shared" si="7"/>
        <v xml:space="preserve"> </v>
      </c>
      <c r="Q22" s="48">
        <f t="shared" si="8"/>
        <v>0</v>
      </c>
      <c r="T22" s="33"/>
    </row>
    <row r="23" spans="1:20" x14ac:dyDescent="0.25">
      <c r="A23" s="4"/>
      <c r="B23" s="60"/>
      <c r="C23" s="1" t="str">
        <f t="shared" si="0"/>
        <v xml:space="preserve"> </v>
      </c>
      <c r="D23" s="62"/>
      <c r="E23" s="27" t="str">
        <f t="shared" si="1"/>
        <v xml:space="preserve"> </v>
      </c>
      <c r="F23" s="20"/>
      <c r="G23" s="22" t="str">
        <f t="shared" si="2"/>
        <v xml:space="preserve"> </v>
      </c>
      <c r="H23" s="27" t="str">
        <f t="shared" si="3"/>
        <v xml:space="preserve"> </v>
      </c>
      <c r="I23" s="55" t="str">
        <f t="shared" si="4"/>
        <v xml:space="preserve"> </v>
      </c>
      <c r="J23" s="27">
        <f t="shared" si="5"/>
        <v>0</v>
      </c>
      <c r="L23" s="33"/>
      <c r="N23" s="63" t="str">
        <f>IFERROR(INDEX(PlageTVA,F23,2)," ")</f>
        <v xml:space="preserve"> </v>
      </c>
      <c r="O23" s="48" t="str">
        <f t="shared" si="6"/>
        <v xml:space="preserve"> </v>
      </c>
      <c r="P23" s="48" t="str">
        <f t="shared" si="7"/>
        <v xml:space="preserve"> </v>
      </c>
      <c r="Q23" s="48">
        <f t="shared" si="8"/>
        <v>0</v>
      </c>
      <c r="T23" s="33"/>
    </row>
    <row r="24" spans="1:20" ht="3" hidden="1" customHeight="1" x14ac:dyDescent="0.25">
      <c r="A24" s="4"/>
      <c r="B24" s="2"/>
      <c r="C24" s="2"/>
      <c r="D24" s="21"/>
      <c r="E24" s="28"/>
      <c r="F24" s="21"/>
      <c r="G24" s="23"/>
      <c r="H24" s="28"/>
      <c r="I24" s="25"/>
      <c r="J24" s="28"/>
      <c r="L24" s="33"/>
      <c r="T24" s="33"/>
    </row>
    <row r="25" spans="1:20" x14ac:dyDescent="0.25">
      <c r="A25" s="4"/>
      <c r="B25" s="11"/>
      <c r="C25" s="8"/>
      <c r="D25" s="8"/>
      <c r="E25" s="8"/>
      <c r="F25" s="8"/>
      <c r="G25" s="8"/>
      <c r="H25" s="8"/>
      <c r="I25" s="8"/>
      <c r="J25" s="9"/>
      <c r="L25" s="33"/>
      <c r="T25" s="33"/>
    </row>
    <row r="26" spans="1:20" x14ac:dyDescent="0.25">
      <c r="A26" s="4"/>
      <c r="B26" s="11"/>
      <c r="C26" s="11"/>
      <c r="D26" s="11"/>
      <c r="E26" s="11"/>
      <c r="F26" s="17" t="s">
        <v>11</v>
      </c>
      <c r="G26" s="17" t="s">
        <v>12</v>
      </c>
      <c r="H26" s="17" t="s">
        <v>16</v>
      </c>
      <c r="I26" s="17" t="s">
        <v>17</v>
      </c>
      <c r="J26" s="50" t="s">
        <v>18</v>
      </c>
      <c r="L26" s="33"/>
      <c r="N26" s="47"/>
      <c r="O26" s="47" t="s">
        <v>16</v>
      </c>
      <c r="P26" s="47" t="s">
        <v>17</v>
      </c>
      <c r="Q26" s="47" t="s">
        <v>18</v>
      </c>
      <c r="T26" s="33"/>
    </row>
    <row r="27" spans="1:20" x14ac:dyDescent="0.25">
      <c r="A27" s="4"/>
      <c r="B27" s="11"/>
      <c r="C27" s="11"/>
      <c r="D27" s="11"/>
      <c r="E27" s="11"/>
      <c r="F27" s="20">
        <v>1</v>
      </c>
      <c r="G27" s="22">
        <v>0.1</v>
      </c>
      <c r="H27" s="27">
        <f>O27</f>
        <v>1200</v>
      </c>
      <c r="I27" s="27">
        <f>P27</f>
        <v>120</v>
      </c>
      <c r="J27" s="27">
        <f>Q27</f>
        <v>1320</v>
      </c>
      <c r="L27" s="33"/>
      <c r="O27">
        <f>SUMIF(F14:F23,1,H14:H23)</f>
        <v>1200</v>
      </c>
      <c r="P27">
        <f>O27*G27</f>
        <v>120</v>
      </c>
      <c r="Q27">
        <f>P27+O27</f>
        <v>1320</v>
      </c>
      <c r="T27" s="33"/>
    </row>
    <row r="28" spans="1:20" x14ac:dyDescent="0.25">
      <c r="A28" s="4"/>
      <c r="B28" s="11"/>
      <c r="C28" s="11"/>
      <c r="D28" s="11"/>
      <c r="E28" s="11"/>
      <c r="F28" s="20">
        <v>2</v>
      </c>
      <c r="G28" s="22">
        <v>0.05</v>
      </c>
      <c r="H28" s="27">
        <f>O28</f>
        <v>200</v>
      </c>
      <c r="I28" s="27">
        <f t="shared" ref="I28:I29" si="9">P28</f>
        <v>10</v>
      </c>
      <c r="J28" s="27">
        <f t="shared" ref="J28:J29" si="10">Q28</f>
        <v>210</v>
      </c>
      <c r="L28" s="33"/>
      <c r="O28">
        <f>SUMIF(F15:F24,2,H15:H24)</f>
        <v>200</v>
      </c>
      <c r="P28">
        <f t="shared" ref="P28:P29" si="11">O28*G28</f>
        <v>10</v>
      </c>
      <c r="Q28">
        <f t="shared" ref="Q28:Q29" si="12">P28+O28</f>
        <v>210</v>
      </c>
      <c r="T28" s="33"/>
    </row>
    <row r="29" spans="1:20" x14ac:dyDescent="0.25">
      <c r="A29" s="4"/>
      <c r="B29" s="11"/>
      <c r="C29" s="11"/>
      <c r="D29" s="11"/>
      <c r="E29" s="11"/>
      <c r="F29" s="21">
        <v>3</v>
      </c>
      <c r="G29" s="23">
        <v>0</v>
      </c>
      <c r="H29" s="28">
        <f>O29</f>
        <v>1900</v>
      </c>
      <c r="I29" s="28">
        <f t="shared" si="9"/>
        <v>0</v>
      </c>
      <c r="J29" s="28">
        <f t="shared" si="10"/>
        <v>1900</v>
      </c>
      <c r="L29" s="33"/>
      <c r="O29">
        <f>SUMIF(F16:F25,3,H16:H25)</f>
        <v>1900</v>
      </c>
      <c r="P29">
        <f t="shared" si="11"/>
        <v>0</v>
      </c>
      <c r="Q29">
        <f t="shared" si="12"/>
        <v>1900</v>
      </c>
      <c r="T29" s="33"/>
    </row>
    <row r="30" spans="1:20" x14ac:dyDescent="0.25">
      <c r="A30" s="4"/>
      <c r="B30" s="11"/>
      <c r="C30" s="11"/>
      <c r="D30" s="11"/>
      <c r="E30" s="11"/>
      <c r="F30" s="11"/>
      <c r="G30" s="11"/>
      <c r="H30" s="11"/>
      <c r="I30" s="11"/>
      <c r="J30" s="12"/>
      <c r="L30" s="33"/>
      <c r="T30" s="33"/>
    </row>
    <row r="31" spans="1:20" x14ac:dyDescent="0.25">
      <c r="A31" s="4"/>
      <c r="B31" s="11"/>
      <c r="C31" s="11"/>
      <c r="D31" s="11"/>
      <c r="E31" s="11"/>
      <c r="F31" s="11"/>
      <c r="G31" s="11"/>
      <c r="H31" s="41" t="s">
        <v>19</v>
      </c>
      <c r="I31" s="42"/>
      <c r="J31" s="30">
        <f>Q31</f>
        <v>3300</v>
      </c>
      <c r="L31" s="33"/>
      <c r="N31" s="52" t="s">
        <v>82</v>
      </c>
      <c r="O31" s="53"/>
      <c r="P31" s="54"/>
      <c r="Q31" s="48">
        <f>SUM(O27:O29)</f>
        <v>3300</v>
      </c>
      <c r="T31" s="33"/>
    </row>
    <row r="32" spans="1:20" x14ac:dyDescent="0.25">
      <c r="A32" s="4"/>
      <c r="B32" s="11"/>
      <c r="C32" s="11"/>
      <c r="D32" s="11"/>
      <c r="E32" s="11"/>
      <c r="F32" s="11"/>
      <c r="G32" s="11"/>
      <c r="H32" s="41" t="s">
        <v>20</v>
      </c>
      <c r="I32" s="42"/>
      <c r="J32" s="30">
        <f t="shared" ref="J32:J33" si="13">Q32</f>
        <v>130</v>
      </c>
      <c r="L32" s="33"/>
      <c r="N32" s="52" t="s">
        <v>20</v>
      </c>
      <c r="O32" s="53"/>
      <c r="P32" s="54"/>
      <c r="Q32" s="48">
        <f>SUM(P27:P29)</f>
        <v>130</v>
      </c>
      <c r="T32" s="33"/>
    </row>
    <row r="33" spans="1:20" x14ac:dyDescent="0.25">
      <c r="A33" s="5"/>
      <c r="B33" s="14"/>
      <c r="C33" s="14"/>
      <c r="D33" s="14"/>
      <c r="E33" s="14"/>
      <c r="F33" s="14"/>
      <c r="G33" s="14"/>
      <c r="H33" s="41" t="s">
        <v>21</v>
      </c>
      <c r="I33" s="42"/>
      <c r="J33" s="30">
        <f t="shared" si="13"/>
        <v>3430</v>
      </c>
      <c r="L33" s="33"/>
      <c r="N33" s="52" t="s">
        <v>21</v>
      </c>
      <c r="O33" s="53"/>
      <c r="P33" s="54"/>
      <c r="Q33" s="48">
        <f>SUM(Q27:Q29)</f>
        <v>3430</v>
      </c>
      <c r="T33" s="33"/>
    </row>
    <row r="34" spans="1:20" x14ac:dyDescent="0.25">
      <c r="L34" s="33"/>
      <c r="T34" s="33"/>
    </row>
    <row r="35" spans="1:20" x14ac:dyDescent="0.25">
      <c r="L35" s="33"/>
      <c r="N35" s="56"/>
      <c r="O35" s="56" t="s">
        <v>87</v>
      </c>
      <c r="P35" s="56" t="s">
        <v>88</v>
      </c>
      <c r="Q35" s="56"/>
      <c r="R35" s="56"/>
      <c r="T35" s="33"/>
    </row>
    <row r="36" spans="1:20" x14ac:dyDescent="0.25">
      <c r="L36" s="33"/>
      <c r="O36" t="str">
        <f>_xlfn.IFNA(VLOOKUP(B14,ListProduit[],2,FALSE)," ")</f>
        <v>vélo</v>
      </c>
      <c r="P36">
        <f>_xlfn.IFNA(VLOOKUP(B14,ListProduit[],3,FALSE)," ")</f>
        <v>200</v>
      </c>
      <c r="T36" s="33"/>
    </row>
    <row r="37" spans="1:20" x14ac:dyDescent="0.25">
      <c r="L37" s="33"/>
      <c r="O37" t="str">
        <f>_xlfn.IFNA(VLOOKUP(B15,ListProduit[],2,FALSE)," ")</f>
        <v>trotinette</v>
      </c>
      <c r="P37">
        <f>_xlfn.IFNA(VLOOKUP(B15,ListProduit[],3,FALSE)," ")</f>
        <v>80</v>
      </c>
      <c r="T37" s="33"/>
    </row>
    <row r="38" spans="1:20" x14ac:dyDescent="0.25">
      <c r="L38" s="33"/>
      <c r="O38" t="str">
        <f>_xlfn.IFNA(VLOOKUP(B16,ListProduit[],2,FALSE)," ")</f>
        <v>batterie</v>
      </c>
      <c r="P38">
        <f>_xlfn.IFNA(VLOOKUP(B16,ListProduit[],3,FALSE)," ")</f>
        <v>200</v>
      </c>
      <c r="T38" s="33"/>
    </row>
    <row r="39" spans="1:20" x14ac:dyDescent="0.25">
      <c r="L39" s="33"/>
      <c r="O39" t="str">
        <f>_xlfn.IFNA(VLOOKUP(B17,ListProduit[],2,FALSE)," ")</f>
        <v>velo electrique</v>
      </c>
      <c r="P39">
        <f>_xlfn.IFNA(VLOOKUP(B17,ListProduit[],3,FALSE)," ")</f>
        <v>1500</v>
      </c>
      <c r="T39" s="33"/>
    </row>
    <row r="40" spans="1:20" x14ac:dyDescent="0.25">
      <c r="L40" s="33"/>
      <c r="O40" t="str">
        <f>_xlfn.IFNA(VLOOKUP(B18,ListProduit[],2,FALSE)," ")</f>
        <v>pompe à vélo</v>
      </c>
      <c r="P40">
        <f>_xlfn.IFNA(VLOOKUP(B18,ListProduit[],3,FALSE)," ")</f>
        <v>5</v>
      </c>
      <c r="T40" s="33"/>
    </row>
    <row r="41" spans="1:20" x14ac:dyDescent="0.25">
      <c r="G41" s="11"/>
      <c r="L41" s="33"/>
      <c r="O41" t="str">
        <f>_xlfn.IFNA(VLOOKUP(B19,ListProduit[],2,FALSE)," ")</f>
        <v>Pedale double</v>
      </c>
      <c r="P41">
        <f>_xlfn.IFNA(VLOOKUP(B19,ListProduit[],3,FALSE)," ")</f>
        <v>25</v>
      </c>
      <c r="T41" s="33"/>
    </row>
    <row r="42" spans="1:20" x14ac:dyDescent="0.25">
      <c r="L42" s="33"/>
      <c r="O42" t="str">
        <f>_xlfn.IFNA(VLOOKUP(B20,ListProduit[],2,FALSE)," ")</f>
        <v>Selle sport</v>
      </c>
      <c r="P42">
        <f>_xlfn.IFNA(VLOOKUP(B20,ListProduit[],3,FALSE)," ")</f>
        <v>80</v>
      </c>
      <c r="T42" s="33"/>
    </row>
    <row r="43" spans="1:20" x14ac:dyDescent="0.25">
      <c r="O43" t="str">
        <f>_xlfn.IFNA(VLOOKUP(B21,ListProduit[],2,FALSE)," ")</f>
        <v>Guidon VTT</v>
      </c>
      <c r="P43">
        <f>_xlfn.IFNA(VLOOKUP(B21,ListProduit[],3,FALSE)," ")</f>
        <v>120</v>
      </c>
    </row>
    <row r="44" spans="1:20" x14ac:dyDescent="0.25">
      <c r="O44" t="str">
        <f>_xlfn.IFNA(VLOOKUP(B22,ListProduit[],2,FALSE)," ")</f>
        <v xml:space="preserve"> </v>
      </c>
      <c r="P44" t="str">
        <f>_xlfn.IFNA(VLOOKUP(B22,ListProduit[],3,FALSE)," ")</f>
        <v xml:space="preserve"> </v>
      </c>
    </row>
    <row r="45" spans="1:20" x14ac:dyDescent="0.25">
      <c r="O45" t="str">
        <f>_xlfn.IFNA(VLOOKUP(B23,ListProduit[],2,FALSE)," ")</f>
        <v xml:space="preserve"> </v>
      </c>
      <c r="P45" t="str">
        <f>_xlfn.IFNA(VLOOKUP(B23,ListProduit[],3,FALSE)," ")</f>
        <v xml:space="preserve"> </v>
      </c>
    </row>
  </sheetData>
  <sheetProtection sheet="1" objects="1" scenarios="1" autoFilter="0"/>
  <protectedRanges>
    <protectedRange sqref="B10:E10 B14:B23 D14:D23" name="Devis"/>
  </protectedRanges>
  <mergeCells count="8">
    <mergeCell ref="N33:P33"/>
    <mergeCell ref="N31:P31"/>
    <mergeCell ref="N32:P32"/>
    <mergeCell ref="D9:E9"/>
    <mergeCell ref="D10:E10"/>
    <mergeCell ref="H31:I31"/>
    <mergeCell ref="H32:I32"/>
    <mergeCell ref="H33:I33"/>
  </mergeCells>
  <conditionalFormatting sqref="G5">
    <cfRule type="containsText" dxfId="4" priority="1" operator="containsText" text="CLIENT INEXISTANT">
      <formula>NOT(ISERROR(SEARCH("CLIENT INEXISTANT",G5)))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F683-B28D-42D2-A90E-A0FCF1A85EF9}">
  <dimension ref="A1:F16"/>
  <sheetViews>
    <sheetView workbookViewId="0">
      <selection activeCell="A2" sqref="A2:F61"/>
    </sheetView>
  </sheetViews>
  <sheetFormatPr baseColWidth="10" defaultRowHeight="15" x14ac:dyDescent="0.25"/>
  <cols>
    <col min="1" max="6" width="15.7109375" customWidth="1"/>
  </cols>
  <sheetData>
    <row r="1" spans="1:6" ht="15.75" thickBot="1" x14ac:dyDescent="0.3">
      <c r="A1" t="s">
        <v>62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 ht="16.5" thickBot="1" x14ac:dyDescent="0.3">
      <c r="A2" s="38">
        <v>1</v>
      </c>
      <c r="B2" s="38" t="s">
        <v>35</v>
      </c>
      <c r="C2" s="38" t="s">
        <v>36</v>
      </c>
      <c r="D2" t="s">
        <v>78</v>
      </c>
      <c r="E2" s="38">
        <v>97410</v>
      </c>
      <c r="F2" s="38" t="s">
        <v>33</v>
      </c>
    </row>
    <row r="3" spans="1:6" ht="16.5" thickBot="1" x14ac:dyDescent="0.3">
      <c r="A3" s="38">
        <v>2</v>
      </c>
      <c r="B3" s="38" t="s">
        <v>37</v>
      </c>
      <c r="C3" s="38" t="s">
        <v>38</v>
      </c>
      <c r="D3" t="s">
        <v>65</v>
      </c>
      <c r="E3" s="38">
        <v>97410</v>
      </c>
      <c r="F3" s="38" t="s">
        <v>33</v>
      </c>
    </row>
    <row r="4" spans="1:6" ht="16.5" thickBot="1" x14ac:dyDescent="0.3">
      <c r="A4" s="38">
        <v>3</v>
      </c>
      <c r="B4" s="38" t="s">
        <v>39</v>
      </c>
      <c r="C4" s="38" t="s">
        <v>40</v>
      </c>
      <c r="D4" t="s">
        <v>66</v>
      </c>
      <c r="E4" s="38">
        <v>97410</v>
      </c>
      <c r="F4" s="38" t="s">
        <v>33</v>
      </c>
    </row>
    <row r="5" spans="1:6" ht="16.5" thickBot="1" x14ac:dyDescent="0.3">
      <c r="A5" s="38">
        <v>4</v>
      </c>
      <c r="B5" s="38" t="s">
        <v>39</v>
      </c>
      <c r="C5" s="38" t="s">
        <v>41</v>
      </c>
      <c r="D5" t="s">
        <v>67</v>
      </c>
      <c r="E5" s="38">
        <v>97410</v>
      </c>
      <c r="F5" s="38" t="s">
        <v>33</v>
      </c>
    </row>
    <row r="6" spans="1:6" ht="16.5" thickBot="1" x14ac:dyDescent="0.3">
      <c r="A6" s="38">
        <v>5</v>
      </c>
      <c r="B6" s="38" t="s">
        <v>42</v>
      </c>
      <c r="C6" s="38" t="s">
        <v>43</v>
      </c>
      <c r="D6" t="s">
        <v>68</v>
      </c>
      <c r="E6" s="38">
        <v>97410</v>
      </c>
      <c r="F6" s="38" t="s">
        <v>33</v>
      </c>
    </row>
    <row r="7" spans="1:6" ht="16.5" thickBot="1" x14ac:dyDescent="0.3">
      <c r="A7" s="38">
        <v>6</v>
      </c>
      <c r="B7" s="38" t="s">
        <v>44</v>
      </c>
      <c r="C7" s="38" t="s">
        <v>45</v>
      </c>
      <c r="D7" t="s">
        <v>69</v>
      </c>
      <c r="E7" s="38">
        <v>97410</v>
      </c>
      <c r="F7" s="38" t="s">
        <v>33</v>
      </c>
    </row>
    <row r="8" spans="1:6" ht="16.5" thickBot="1" x14ac:dyDescent="0.3">
      <c r="A8" s="38">
        <v>7</v>
      </c>
      <c r="B8" s="38" t="s">
        <v>46</v>
      </c>
      <c r="C8" s="38" t="s">
        <v>47</v>
      </c>
      <c r="D8" t="s">
        <v>70</v>
      </c>
      <c r="E8" s="38">
        <v>97410</v>
      </c>
      <c r="F8" s="38" t="s">
        <v>33</v>
      </c>
    </row>
    <row r="9" spans="1:6" ht="16.5" thickBot="1" x14ac:dyDescent="0.3">
      <c r="A9" s="38">
        <v>8</v>
      </c>
      <c r="B9" s="38" t="s">
        <v>48</v>
      </c>
      <c r="C9" s="38" t="s">
        <v>49</v>
      </c>
      <c r="D9" t="s">
        <v>71</v>
      </c>
      <c r="E9" s="38">
        <v>97410</v>
      </c>
      <c r="F9" s="38" t="s">
        <v>33</v>
      </c>
    </row>
    <row r="10" spans="1:6" ht="16.5" thickBot="1" x14ac:dyDescent="0.3">
      <c r="A10" s="38">
        <v>9</v>
      </c>
      <c r="B10" s="38" t="s">
        <v>50</v>
      </c>
      <c r="C10" s="38" t="s">
        <v>51</v>
      </c>
      <c r="D10" t="s">
        <v>72</v>
      </c>
      <c r="E10" s="38">
        <v>97410</v>
      </c>
      <c r="F10" s="38" t="s">
        <v>33</v>
      </c>
    </row>
    <row r="11" spans="1:6" ht="16.5" thickBot="1" x14ac:dyDescent="0.3">
      <c r="A11" s="38">
        <v>10</v>
      </c>
      <c r="B11" s="38" t="s">
        <v>52</v>
      </c>
      <c r="C11" s="38" t="s">
        <v>53</v>
      </c>
      <c r="D11" t="s">
        <v>73</v>
      </c>
      <c r="E11" s="38">
        <v>97410</v>
      </c>
      <c r="F11" s="38" t="s">
        <v>33</v>
      </c>
    </row>
    <row r="12" spans="1:6" ht="16.5" thickBot="1" x14ac:dyDescent="0.3">
      <c r="A12" s="38">
        <v>11</v>
      </c>
      <c r="B12" s="38" t="s">
        <v>54</v>
      </c>
      <c r="C12" s="38" t="s">
        <v>55</v>
      </c>
      <c r="D12" t="s">
        <v>74</v>
      </c>
      <c r="E12" s="38">
        <v>97410</v>
      </c>
      <c r="F12" s="38" t="s">
        <v>33</v>
      </c>
    </row>
    <row r="13" spans="1:6" ht="16.5" thickBot="1" x14ac:dyDescent="0.3">
      <c r="A13" s="38">
        <v>12</v>
      </c>
      <c r="B13" s="38" t="s">
        <v>56</v>
      </c>
      <c r="C13" s="38" t="s">
        <v>57</v>
      </c>
      <c r="D13" t="s">
        <v>75</v>
      </c>
      <c r="E13" s="38">
        <v>97410</v>
      </c>
      <c r="F13" s="38" t="s">
        <v>33</v>
      </c>
    </row>
    <row r="14" spans="1:6" ht="16.5" thickBot="1" x14ac:dyDescent="0.3">
      <c r="A14" s="38">
        <v>13</v>
      </c>
      <c r="B14" s="38" t="s">
        <v>58</v>
      </c>
      <c r="C14" s="38" t="s">
        <v>59</v>
      </c>
      <c r="D14" t="s">
        <v>76</v>
      </c>
      <c r="E14" s="38">
        <v>97410</v>
      </c>
      <c r="F14" s="38" t="s">
        <v>33</v>
      </c>
    </row>
    <row r="15" spans="1:6" ht="32.25" thickBot="1" x14ac:dyDescent="0.3">
      <c r="A15" s="38">
        <v>14</v>
      </c>
      <c r="B15" s="38" t="s">
        <v>60</v>
      </c>
      <c r="C15" s="38" t="s">
        <v>61</v>
      </c>
      <c r="D15" t="s">
        <v>77</v>
      </c>
      <c r="E15" s="38">
        <v>97410</v>
      </c>
      <c r="F15" s="38" t="s">
        <v>33</v>
      </c>
    </row>
    <row r="16" spans="1:6" ht="16.5" thickBot="1" x14ac:dyDescent="0.3">
      <c r="A16">
        <v>15</v>
      </c>
      <c r="B16" t="s">
        <v>32</v>
      </c>
      <c r="C16" t="s">
        <v>63</v>
      </c>
      <c r="D16" t="s">
        <v>64</v>
      </c>
      <c r="E16" s="38">
        <v>97410</v>
      </c>
      <c r="F16" s="38" t="s">
        <v>33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F617-4632-40C7-A9FF-DBB75A1E6AC8}">
  <dimension ref="A1:C9"/>
  <sheetViews>
    <sheetView workbookViewId="0">
      <selection activeCell="C2" sqref="C2:C9"/>
    </sheetView>
  </sheetViews>
  <sheetFormatPr baseColWidth="10" defaultRowHeight="15" x14ac:dyDescent="0.25"/>
  <cols>
    <col min="2" max="2" width="15.5703125" customWidth="1"/>
  </cols>
  <sheetData>
    <row r="1" spans="1:3" x14ac:dyDescent="0.25">
      <c r="A1" t="s">
        <v>7</v>
      </c>
      <c r="B1" t="s">
        <v>8</v>
      </c>
      <c r="C1" t="s">
        <v>83</v>
      </c>
    </row>
    <row r="2" spans="1:3" x14ac:dyDescent="0.25">
      <c r="A2" s="20">
        <v>10</v>
      </c>
      <c r="B2" s="44" t="s">
        <v>22</v>
      </c>
      <c r="C2" s="57">
        <v>200</v>
      </c>
    </row>
    <row r="3" spans="1:3" x14ac:dyDescent="0.25">
      <c r="A3" s="20">
        <v>20</v>
      </c>
      <c r="B3" s="20" t="s">
        <v>23</v>
      </c>
      <c r="C3" s="58">
        <v>80</v>
      </c>
    </row>
    <row r="4" spans="1:3" x14ac:dyDescent="0.25">
      <c r="A4" s="20">
        <v>305</v>
      </c>
      <c r="B4" s="20" t="s">
        <v>24</v>
      </c>
      <c r="C4" s="58">
        <v>200</v>
      </c>
    </row>
    <row r="5" spans="1:3" x14ac:dyDescent="0.25">
      <c r="A5" s="20">
        <v>287</v>
      </c>
      <c r="B5" s="20" t="s">
        <v>25</v>
      </c>
      <c r="C5" s="58">
        <v>1500</v>
      </c>
    </row>
    <row r="6" spans="1:3" x14ac:dyDescent="0.25">
      <c r="A6" s="20">
        <v>12</v>
      </c>
      <c r="B6" s="20" t="s">
        <v>26</v>
      </c>
      <c r="C6" s="58">
        <v>5</v>
      </c>
    </row>
    <row r="7" spans="1:3" x14ac:dyDescent="0.25">
      <c r="A7" s="51">
        <v>18</v>
      </c>
      <c r="B7" s="51" t="s">
        <v>84</v>
      </c>
      <c r="C7" s="59">
        <v>25</v>
      </c>
    </row>
    <row r="8" spans="1:3" x14ac:dyDescent="0.25">
      <c r="A8" s="51">
        <v>25</v>
      </c>
      <c r="B8" s="51" t="s">
        <v>85</v>
      </c>
      <c r="C8" s="59">
        <v>80</v>
      </c>
    </row>
    <row r="9" spans="1:3" x14ac:dyDescent="0.25">
      <c r="A9" s="51">
        <v>299</v>
      </c>
      <c r="B9" s="51" t="s">
        <v>86</v>
      </c>
      <c r="C9" s="59">
        <v>120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12</vt:i4>
      </vt:variant>
    </vt:vector>
  </HeadingPairs>
  <TitlesOfParts>
    <vt:vector size="15" baseType="lpstr">
      <vt:lpstr>Devis</vt:lpstr>
      <vt:lpstr>Liste des clients</vt:lpstr>
      <vt:lpstr>ListProduit</vt:lpstr>
      <vt:lpstr>ClientInexistant</vt:lpstr>
      <vt:lpstr>CodeProduit</vt:lpstr>
      <vt:lpstr>codeTVA</vt:lpstr>
      <vt:lpstr>DateDevis</vt:lpstr>
      <vt:lpstr>InfoClient</vt:lpstr>
      <vt:lpstr>MontantHorsTaxe</vt:lpstr>
      <vt:lpstr>MontantTTC</vt:lpstr>
      <vt:lpstr>MontantTVA</vt:lpstr>
      <vt:lpstr>NumeroClient</vt:lpstr>
      <vt:lpstr>NumeroDevis</vt:lpstr>
      <vt:lpstr>PlageTVA</vt:lpstr>
      <vt:lpstr>TauxTVA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JohnCrows</dc:creator>
  <cp:lastModifiedBy>JohnCrows</cp:lastModifiedBy>
  <dcterms:created xsi:type="dcterms:W3CDTF">2019-10-06T05:37:28Z</dcterms:created>
  <dcterms:modified xsi:type="dcterms:W3CDTF">2019-10-06T13:38:00Z</dcterms:modified>
</cp:coreProperties>
</file>