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an\Desktop\"/>
    </mc:Choice>
  </mc:AlternateContent>
  <xr:revisionPtr revIDLastSave="0" documentId="13_ncr:1_{6755FBD6-C96F-468F-87C6-01198F0D167B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nual" sheetId="16" r:id="rId15"/>
    <sheet name="DashBoardFinanceiroAnualD" sheetId="17" state="hidden" r:id="rId16"/>
    <sheet name="DashBoardFinanceiroAtual" sheetId="19" r:id="rId17"/>
    <sheet name="DashBoardFinanceiroAtualD" sheetId="20" state="hidden" r:id="rId18"/>
  </sheets>
  <definedNames>
    <definedName name="PCEntradasN1_Nível_1" localSheetId="16">TbPCEntradasN1[Nível 1]</definedName>
    <definedName name="PCEntradasN1_Nível_1" localSheetId="17">TbPCEntradasN1[Nível 1]</definedName>
    <definedName name="PCEntradasN1_Nível_1">TbPCEntradasN1[Nível 1]</definedName>
    <definedName name="PCEntradasN2_Nível_1" localSheetId="16">TbPCEntradasN2[Nível 1]</definedName>
    <definedName name="PCEntradasN2_Nível_1" localSheetId="17">TbPCEntradasN2[Nível 1]</definedName>
    <definedName name="PCEntradasN2_Nível_1">TbPCEntradasN2[Nível 1]</definedName>
    <definedName name="PCEntradasN2_Nível_2" localSheetId="16">TbPCEntradasN2[Nível 2]</definedName>
    <definedName name="PCEntradasN2_Nível_2" localSheetId="17">TbPCEntradasN2[Nível 2]</definedName>
    <definedName name="PCEntradasN2_Nível_2">TbPCEntradasN2[Nível 2]</definedName>
    <definedName name="PCSaídasN1_Nível_1" localSheetId="16">TbPCSaídasN1[Nível 1]</definedName>
    <definedName name="PCSaídasN1_Nível_1" localSheetId="17">TbPCSaídasN1[Nível 1]</definedName>
    <definedName name="PCSaídasN1_Nível_1">TbPCSaídasN1[Nível 1]</definedName>
    <definedName name="PCSaídasN2_Nível_1" localSheetId="16">TbPCSaídasN2[Nível 1]</definedName>
    <definedName name="PCSaídasN2_Nível_1" localSheetId="17">TbPCSaídasN2[Nível 1]</definedName>
    <definedName name="PCSaídasN2_Nível_1">TbPCSaídasN2[Nível 1]</definedName>
    <definedName name="PCSaídasN2_Nível_2" localSheetId="16">TbPCSaídasN2[Nível 2]</definedName>
    <definedName name="PCSaídasN2_Nível_2" localSheetId="17">TbPCSaídasN2[Nível 2]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4">#N/A</definedName>
    <definedName name="SegmentaçãodeDados_Ano_Previsto">#N/A</definedName>
    <definedName name="SegmentaçãodeDados_Ano_Previsto1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91029"/>
  <pivotCaches>
    <pivotCache cacheId="0" r:id="rId19"/>
    <pivotCache cacheId="1" r:id="rId20"/>
  </pivotCaches>
  <extLst>
    <ext xmlns:x14="http://schemas.microsoft.com/office/spreadsheetml/2009/9/main" uri="{BBE1A952-AA13-448e-AADC-164F8A28A991}">
      <x14:slicerCaches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H31" i="20" l="1"/>
  <c r="J4" i="20"/>
  <c r="C4" i="20"/>
  <c r="B32" i="20" l="1"/>
  <c r="L3" i="20"/>
  <c r="C5" i="20"/>
  <c r="B22" i="20" l="1"/>
  <c r="B27" i="20"/>
  <c r="G27" i="20"/>
  <c r="H30" i="20"/>
  <c r="H31" i="17"/>
  <c r="P4" i="7" l="1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J4" i="17"/>
  <c r="C4" i="17"/>
  <c r="L3" i="17" s="1"/>
  <c r="L7" i="7"/>
  <c r="L20" i="7"/>
  <c r="L25" i="7"/>
  <c r="L38" i="7"/>
  <c r="L4" i="7"/>
  <c r="L5" i="7"/>
  <c r="L6" i="7"/>
  <c r="L8" i="7"/>
  <c r="L9" i="7"/>
  <c r="L10" i="7"/>
  <c r="L11" i="7"/>
  <c r="L12" i="7"/>
  <c r="L13" i="7"/>
  <c r="L14" i="7"/>
  <c r="L15" i="7"/>
  <c r="L16" i="7"/>
  <c r="L17" i="7"/>
  <c r="L18" i="7"/>
  <c r="L19" i="7"/>
  <c r="L21" i="7"/>
  <c r="L22" i="7"/>
  <c r="L23" i="7"/>
  <c r="L24" i="7"/>
  <c r="L26" i="7"/>
  <c r="L27" i="7"/>
  <c r="L28" i="7"/>
  <c r="L29" i="7"/>
  <c r="L30" i="7"/>
  <c r="L31" i="7"/>
  <c r="L32" i="7"/>
  <c r="L33" i="7"/>
  <c r="L34" i="7"/>
  <c r="L35" i="7"/>
  <c r="L36" i="7"/>
  <c r="L37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K17" i="9"/>
  <c r="K23" i="9" s="1"/>
  <c r="C10" i="17" l="1"/>
  <c r="C10" i="20"/>
  <c r="C32" i="20"/>
  <c r="B22" i="17"/>
  <c r="K9" i="9"/>
  <c r="G5" i="20"/>
  <c r="G6" i="20"/>
  <c r="G10" i="20"/>
  <c r="G7" i="20"/>
  <c r="G14" i="20"/>
  <c r="G11" i="20"/>
  <c r="G8" i="20"/>
  <c r="G12" i="20"/>
  <c r="G15" i="20"/>
  <c r="G16" i="20"/>
  <c r="G9" i="20"/>
  <c r="G13" i="20"/>
  <c r="H42" i="20"/>
  <c r="H36" i="20"/>
  <c r="H33" i="20"/>
  <c r="H32" i="20"/>
  <c r="H37" i="20"/>
  <c r="H35" i="20"/>
  <c r="H41" i="20"/>
  <c r="H39" i="20"/>
  <c r="H40" i="20"/>
  <c r="H43" i="20"/>
  <c r="H34" i="20"/>
  <c r="H38" i="20"/>
  <c r="D32" i="20"/>
  <c r="D27" i="20"/>
  <c r="C10" i="9"/>
  <c r="J5" i="20"/>
  <c r="J7" i="20"/>
  <c r="K7" i="20" s="1"/>
  <c r="J8" i="20"/>
  <c r="K8" i="20" s="1"/>
  <c r="J15" i="20"/>
  <c r="K15" i="20" s="1"/>
  <c r="J12" i="20"/>
  <c r="K12" i="20" s="1"/>
  <c r="J6" i="20"/>
  <c r="K6" i="20" s="1"/>
  <c r="J16" i="20"/>
  <c r="K16" i="20" s="1"/>
  <c r="J10" i="20"/>
  <c r="K10" i="20" s="1"/>
  <c r="J11" i="20"/>
  <c r="K11" i="20" s="1"/>
  <c r="J14" i="20"/>
  <c r="K14" i="20" s="1"/>
  <c r="J9" i="20"/>
  <c r="K9" i="20" s="1"/>
  <c r="J13" i="20"/>
  <c r="K13" i="20" s="1"/>
  <c r="C27" i="20"/>
  <c r="D13" i="20"/>
  <c r="B8" i="19" s="1"/>
  <c r="C9" i="20"/>
  <c r="C8" i="20"/>
  <c r="C11" i="20" s="1"/>
  <c r="B5" i="19" s="1"/>
  <c r="D14" i="20"/>
  <c r="B11" i="19" s="1"/>
  <c r="H10" i="20"/>
  <c r="H7" i="20"/>
  <c r="H14" i="20"/>
  <c r="H11" i="20"/>
  <c r="H8" i="20"/>
  <c r="H15" i="20"/>
  <c r="H12" i="20"/>
  <c r="H5" i="20"/>
  <c r="H16" i="20"/>
  <c r="H9" i="20"/>
  <c r="H6" i="20"/>
  <c r="H13" i="20"/>
  <c r="H30" i="17"/>
  <c r="B32" i="17"/>
  <c r="G27" i="17"/>
  <c r="B27" i="17"/>
  <c r="H27" i="20"/>
  <c r="D22" i="20"/>
  <c r="C22" i="20"/>
  <c r="I27" i="20"/>
  <c r="G6" i="17"/>
  <c r="D13" i="17"/>
  <c r="B8" i="16" s="1"/>
  <c r="C17" i="9"/>
  <c r="C23" i="9" s="1"/>
  <c r="J17" i="9"/>
  <c r="J23" i="9" s="1"/>
  <c r="H10" i="9"/>
  <c r="N17" i="9"/>
  <c r="N23" i="9" s="1"/>
  <c r="G10" i="9"/>
  <c r="E17" i="9"/>
  <c r="E23" i="9" s="1"/>
  <c r="J10" i="9"/>
  <c r="H13" i="17"/>
  <c r="J11" i="17"/>
  <c r="K11" i="17" s="1"/>
  <c r="M9" i="9"/>
  <c r="G16" i="9"/>
  <c r="G22" i="9" s="1"/>
  <c r="J15" i="17"/>
  <c r="K15" i="17" s="1"/>
  <c r="C22" i="17"/>
  <c r="H5" i="17"/>
  <c r="I9" i="9"/>
  <c r="M16" i="9"/>
  <c r="M22" i="9" s="1"/>
  <c r="C9" i="17"/>
  <c r="H9" i="17"/>
  <c r="J7" i="17"/>
  <c r="K7" i="17" s="1"/>
  <c r="F9" i="9"/>
  <c r="H8" i="17"/>
  <c r="J16" i="9"/>
  <c r="J22" i="9" s="1"/>
  <c r="J24" i="9" s="1"/>
  <c r="E9" i="9"/>
  <c r="D14" i="17"/>
  <c r="B11" i="16" s="1"/>
  <c r="H6" i="17"/>
  <c r="N16" i="9"/>
  <c r="N22" i="9" s="1"/>
  <c r="N25" i="9" s="1"/>
  <c r="D22" i="17"/>
  <c r="E22" i="17" s="1"/>
  <c r="B16" i="16" s="1"/>
  <c r="J8" i="17"/>
  <c r="K8" i="17" s="1"/>
  <c r="J9" i="9"/>
  <c r="E16" i="9"/>
  <c r="E22" i="9" s="1"/>
  <c r="E24" i="9" s="1"/>
  <c r="H9" i="9"/>
  <c r="L9" i="9"/>
  <c r="N9" i="9"/>
  <c r="C15" i="9"/>
  <c r="C8" i="17"/>
  <c r="C11" i="17" s="1"/>
  <c r="B5" i="16" s="1"/>
  <c r="H15" i="17"/>
  <c r="H11" i="17"/>
  <c r="H7" i="17"/>
  <c r="J13" i="17"/>
  <c r="K13" i="17" s="1"/>
  <c r="J9" i="17"/>
  <c r="K9" i="17" s="1"/>
  <c r="J5" i="17"/>
  <c r="H16" i="9"/>
  <c r="H22" i="9" s="1"/>
  <c r="D16" i="9"/>
  <c r="D22" i="9" s="1"/>
  <c r="C9" i="9"/>
  <c r="C16" i="9"/>
  <c r="C22" i="9" s="1"/>
  <c r="C24" i="9" s="1"/>
  <c r="G9" i="9"/>
  <c r="F16" i="9"/>
  <c r="F22" i="9" s="1"/>
  <c r="H16" i="17"/>
  <c r="H12" i="17"/>
  <c r="J14" i="17"/>
  <c r="K14" i="17" s="1"/>
  <c r="J10" i="17"/>
  <c r="K10" i="17" s="1"/>
  <c r="J6" i="17"/>
  <c r="K6" i="17" s="1"/>
  <c r="K16" i="9"/>
  <c r="K22" i="9" s="1"/>
  <c r="K25" i="9" s="1"/>
  <c r="D9" i="9"/>
  <c r="L16" i="9"/>
  <c r="L22" i="9" s="1"/>
  <c r="I16" i="9"/>
  <c r="I22" i="9" s="1"/>
  <c r="H14" i="17"/>
  <c r="H10" i="17"/>
  <c r="J16" i="17"/>
  <c r="K16" i="17" s="1"/>
  <c r="J12" i="17"/>
  <c r="K12" i="17" s="1"/>
  <c r="C26" i="9"/>
  <c r="G5" i="17"/>
  <c r="G13" i="17"/>
  <c r="G9" i="17"/>
  <c r="C8" i="9"/>
  <c r="K10" i="9"/>
  <c r="N10" i="9"/>
  <c r="F17" i="9"/>
  <c r="F23" i="9" s="1"/>
  <c r="L17" i="9"/>
  <c r="L23" i="9" s="1"/>
  <c r="G17" i="9"/>
  <c r="G23" i="9" s="1"/>
  <c r="G16" i="17"/>
  <c r="G12" i="17"/>
  <c r="G8" i="17"/>
  <c r="M10" i="9"/>
  <c r="E10" i="9"/>
  <c r="G15" i="17"/>
  <c r="G11" i="17"/>
  <c r="G7" i="17"/>
  <c r="D10" i="9"/>
  <c r="H17" i="9"/>
  <c r="H23" i="9" s="1"/>
  <c r="M17" i="9"/>
  <c r="M23" i="9" s="1"/>
  <c r="L10" i="9"/>
  <c r="I10" i="9"/>
  <c r="F10" i="9"/>
  <c r="I17" i="9"/>
  <c r="I23" i="9" s="1"/>
  <c r="D17" i="9"/>
  <c r="D23" i="9" s="1"/>
  <c r="G14" i="17"/>
  <c r="G10" i="17"/>
  <c r="E27" i="20" l="1"/>
  <c r="F16" i="19" s="1"/>
  <c r="J27" i="20"/>
  <c r="G16" i="19" s="1"/>
  <c r="K24" i="9"/>
  <c r="H27" i="17"/>
  <c r="I27" i="17"/>
  <c r="D32" i="17"/>
  <c r="C32" i="17"/>
  <c r="E32" i="17" s="1"/>
  <c r="I14" i="16" s="1"/>
  <c r="H40" i="17"/>
  <c r="H36" i="17"/>
  <c r="H43" i="17"/>
  <c r="H39" i="17"/>
  <c r="H32" i="17"/>
  <c r="H34" i="17"/>
  <c r="H41" i="17"/>
  <c r="H35" i="17"/>
  <c r="H37" i="17"/>
  <c r="H33" i="17"/>
  <c r="H38" i="17"/>
  <c r="H42" i="17"/>
  <c r="H44" i="20"/>
  <c r="K15" i="19" s="1"/>
  <c r="E22" i="20"/>
  <c r="B16" i="19" s="1"/>
  <c r="E32" i="20"/>
  <c r="I14" i="19" s="1"/>
  <c r="C27" i="17"/>
  <c r="D27" i="17"/>
  <c r="K5" i="20"/>
  <c r="K8" i="19"/>
  <c r="C11" i="9"/>
  <c r="D8" i="9" s="1"/>
  <c r="N24" i="9"/>
  <c r="J25" i="9"/>
  <c r="E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D11" i="9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  <c r="C25" i="9"/>
  <c r="K8" i="16"/>
  <c r="K5" i="17"/>
  <c r="I24" i="9"/>
  <c r="I25" i="9"/>
  <c r="F25" i="9"/>
  <c r="F24" i="9"/>
  <c r="M24" i="9"/>
  <c r="M25" i="9"/>
  <c r="L24" i="9"/>
  <c r="L25" i="9"/>
  <c r="H24" i="9"/>
  <c r="H25" i="9"/>
  <c r="D24" i="9"/>
  <c r="D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G24" i="9"/>
  <c r="G25" i="9"/>
  <c r="E27" i="17" l="1"/>
  <c r="F16" i="16" s="1"/>
  <c r="J27" i="17"/>
  <c r="G16" i="16" s="1"/>
  <c r="H44" i="17"/>
  <c r="K15" i="16" s="1"/>
</calcChain>
</file>

<file path=xl/sharedStrings.xml><?xml version="1.0" encoding="utf-8"?>
<sst xmlns="http://schemas.openxmlformats.org/spreadsheetml/2006/main" count="1829" uniqueCount="610">
  <si>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</si>
  <si>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</si>
  <si>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</si>
  <si>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</si>
  <si>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</si>
  <si>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</si>
  <si>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</si>
  <si>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</si>
  <si>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</si>
  <si>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</si>
  <si>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</si>
  <si>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</si>
  <si>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</si>
  <si>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</si>
  <si>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</si>
  <si>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</si>
  <si>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</si>
  <si>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</si>
  <si>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</si>
  <si>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</si>
  <si>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</si>
  <si>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</si>
  <si>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</si>
  <si>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</si>
  <si>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</si>
  <si>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</si>
  <si>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</si>
  <si>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</si>
  <si>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</si>
  <si>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</si>
  <si>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</si>
  <si>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</si>
  <si>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</si>
  <si>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</si>
  <si>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</si>
  <si>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</si>
  <si>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</si>
  <si>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</si>
  <si>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</si>
  <si>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</si>
  <si>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</si>
  <si>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</si>
  <si>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</si>
  <si>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</si>
  <si>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</si>
  <si>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</si>
  <si>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</si>
  <si>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</si>
  <si>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</si>
  <si>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</si>
  <si>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</si>
  <si>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</si>
  <si>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</si>
  <si>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</si>
  <si>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</si>
  <si>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</si>
  <si>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</si>
  <si>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</si>
  <si>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</si>
  <si>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</si>
  <si>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</si>
  <si>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</si>
  <si>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</si>
  <si>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</si>
  <si>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</si>
  <si>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</si>
  <si>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</si>
  <si>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</si>
  <si>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</si>
  <si>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</si>
  <si>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</si>
  <si>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</si>
  <si>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</si>
  <si>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</si>
  <si>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</si>
  <si>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</si>
  <si>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</si>
  <si>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</si>
  <si>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</si>
  <si>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</si>
  <si>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</si>
  <si>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</si>
  <si>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</si>
  <si>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</si>
  <si>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</si>
  <si>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</si>
  <si>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</si>
  <si>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</si>
  <si>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</si>
  <si>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</si>
  <si>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</si>
  <si>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</si>
  <si>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</si>
  <si>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</si>
  <si>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</si>
  <si>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</si>
  <si>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</si>
  <si>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</si>
  <si>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</si>
  <si>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</si>
  <si>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</si>
  <si>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</si>
  <si>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</si>
  <si>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</si>
  <si>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</si>
  <si>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</si>
  <si>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</si>
  <si>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</si>
  <si>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</si>
  <si>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</si>
  <si>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</si>
  <si>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</si>
  <si>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</si>
  <si>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</si>
  <si>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</si>
  <si>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</si>
  <si>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</si>
  <si>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</si>
  <si>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</si>
  <si>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</si>
  <si>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</si>
  <si>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</si>
  <si>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</si>
  <si>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</si>
  <si>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</si>
  <si>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</si>
  <si>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</si>
  <si>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</si>
  <si>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</si>
  <si>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</si>
  <si>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</si>
  <si>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</si>
  <si>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</si>
  <si>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</si>
  <si>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</si>
  <si>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</si>
  <si>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</si>
  <si>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</si>
  <si>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</si>
  <si>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</si>
  <si>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</si>
  <si>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</si>
  <si>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</si>
  <si>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</si>
  <si>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</si>
  <si>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</si>
  <si>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</si>
  <si>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</si>
  <si>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</si>
  <si>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</si>
  <si>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</si>
  <si>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</si>
  <si>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</si>
  <si>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</si>
  <si>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</si>
  <si>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</si>
  <si>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</si>
  <si>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</si>
  <si>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</si>
  <si>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</si>
  <si>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</si>
  <si>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</si>
  <si>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</si>
  <si>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</si>
  <si>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</si>
  <si>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</si>
  <si>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</si>
  <si>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</si>
  <si>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</si>
  <si>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</si>
  <si>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</si>
  <si>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</si>
  <si>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</si>
  <si>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</si>
  <si>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</si>
  <si>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</si>
  <si>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</si>
  <si>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</si>
  <si>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</si>
  <si>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</si>
  <si>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</si>
  <si>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</si>
  <si>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</si>
  <si>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</si>
  <si>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</si>
  <si>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</si>
  <si>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</si>
  <si>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</si>
  <si>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</si>
  <si>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</si>
  <si>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</si>
  <si>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</si>
  <si>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</si>
  <si>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</si>
  <si>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</si>
  <si>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</si>
  <si>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</si>
  <si>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</si>
  <si>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</si>
  <si>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</si>
  <si>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</si>
  <si>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</si>
  <si>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</si>
  <si>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</si>
  <si>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</si>
  <si>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</si>
  <si>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</si>
  <si>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</si>
  <si>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</si>
  <si>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</si>
  <si>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</si>
  <si>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</si>
  <si>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</si>
  <si>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</si>
  <si>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</si>
  <si>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</si>
  <si>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</si>
  <si>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</si>
  <si>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</si>
  <si>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</si>
  <si>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</si>
  <si>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</si>
  <si>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</si>
  <si>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</si>
  <si>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</si>
  <si>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</si>
  <si>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</si>
  <si>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</si>
  <si>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</si>
  <si>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</si>
  <si>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</si>
  <si>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</si>
  <si>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</si>
  <si>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</si>
  <si>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</si>
  <si>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</si>
  <si>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</si>
  <si>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</si>
  <si>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</si>
  <si>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</si>
  <si>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</si>
  <si>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</si>
  <si>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</si>
  <si>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</si>
  <si>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</si>
  <si>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</si>
  <si>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</si>
  <si>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</si>
  <si>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</si>
  <si>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</si>
  <si>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</si>
  <si>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</si>
  <si>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</si>
  <si>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</si>
  <si>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</si>
  <si>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</si>
  <si>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</si>
  <si>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</si>
  <si>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</si>
  <si>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</si>
  <si>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</si>
  <si>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</si>
  <si>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</si>
  <si>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</si>
  <si>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</si>
  <si>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</si>
  <si>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</si>
  <si>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</si>
  <si>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</si>
  <si>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</si>
  <si>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</si>
  <si>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</si>
  <si>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</si>
  <si>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</si>
  <si>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</si>
  <si>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</si>
  <si>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</si>
  <si>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</si>
  <si>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</si>
  <si>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</si>
  <si>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</si>
  <si>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</si>
  <si>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</si>
  <si>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</si>
  <si>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</si>
  <si>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</si>
  <si>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</si>
  <si>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</si>
  <si>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</si>
  <si>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</si>
  <si>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</si>
  <si>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</si>
  <si>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</si>
  <si>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</si>
  <si>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</si>
  <si>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</si>
  <si>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</si>
  <si>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</si>
  <si>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</si>
  <si>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</si>
  <si>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</si>
  <si>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</si>
  <si>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</si>
  <si>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</si>
  <si>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</si>
  <si>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</si>
  <si>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</si>
  <si>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</si>
  <si>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</si>
  <si>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</si>
  <si>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</si>
  <si>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</si>
  <si>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</si>
  <si>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</si>
  <si>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</si>
  <si>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</si>
  <si>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</si>
  <si>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</si>
  <si>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</si>
  <si>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</si>
  <si>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</si>
  <si>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</si>
  <si>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</si>
  <si>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</si>
  <si>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</si>
  <si>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</si>
  <si>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</si>
  <si>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</si>
  <si>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</si>
  <si>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</si>
  <si>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</si>
  <si>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</si>
  <si>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</si>
  <si>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</si>
  <si>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</si>
  <si>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</si>
  <si>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</si>
  <si>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</si>
  <si>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</si>
  <si>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</si>
  <si>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</si>
  <si>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</si>
  <si>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</si>
  <si>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</si>
  <si>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</si>
  <si>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</si>
  <si>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</si>
  <si>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</si>
  <si>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</si>
  <si>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</si>
  <si>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</si>
  <si>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</si>
  <si>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</si>
  <si>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</si>
  <si>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</si>
  <si>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</si>
  <si>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</si>
  <si>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</si>
  <si>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</si>
  <si>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</si>
  <si>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</si>
  <si>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</si>
  <si>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</si>
  <si>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</si>
  <si>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</si>
  <si>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</si>
  <si>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</si>
  <si>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</si>
  <si>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</si>
  <si>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</si>
  <si>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</si>
  <si>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</si>
  <si>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</si>
  <si>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</si>
  <si>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</si>
  <si>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</si>
  <si>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</si>
  <si>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</si>
  <si>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</si>
  <si>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</si>
  <si>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</si>
  <si>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</si>
  <si>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</si>
  <si>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</si>
  <si>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</si>
  <si>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</si>
  <si>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</si>
  <si>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</si>
  <si>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</si>
  <si>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</si>
  <si>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</si>
  <si>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</si>
  <si>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</si>
  <si>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</si>
  <si>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</si>
  <si>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</si>
  <si>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</si>
  <si>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</si>
  <si>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</si>
  <si>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</si>
  <si>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</si>
  <si>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</si>
  <si>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</si>
  <si>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</si>
  <si>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</si>
  <si>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</si>
  <si>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</si>
  <si>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</si>
  <si>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</si>
  <si>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</si>
  <si>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</si>
  <si>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</si>
  <si>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</si>
  <si>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</si>
  <si>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</si>
  <si>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</si>
  <si>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</si>
  <si>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</si>
  <si>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</si>
  <si>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</si>
  <si>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</si>
  <si>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</si>
  <si>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</si>
  <si>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</si>
  <si>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</si>
  <si>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</si>
  <si>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</si>
  <si>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</si>
  <si>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</si>
  <si>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</si>
  <si>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</si>
  <si>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</si>
  <si>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</si>
  <si>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</si>
  <si>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</si>
  <si>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</si>
  <si>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</si>
  <si>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</si>
  <si>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</si>
  <si>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</si>
  <si>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</si>
  <si>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</si>
  <si>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</si>
  <si>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</si>
  <si>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</si>
  <si>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</si>
  <si>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</si>
  <si>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</si>
  <si>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</si>
  <si>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</si>
  <si>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</si>
  <si>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</si>
  <si>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</si>
  <si>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</si>
  <si>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</si>
  <si>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</si>
  <si>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</si>
  <si>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</si>
  <si>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</si>
  <si>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</si>
  <si>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</si>
  <si>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</si>
  <si>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</si>
  <si>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</si>
  <si>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</si>
  <si>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</si>
  <si>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</si>
  <si>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</si>
  <si>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</si>
  <si>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</si>
  <si>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</si>
  <si>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</si>
  <si>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</si>
  <si>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</si>
  <si>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</si>
  <si>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</si>
  <si>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</si>
  <si>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</si>
  <si>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</si>
  <si>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</si>
  <si>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</si>
  <si>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</si>
  <si>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</si>
  <si>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</si>
  <si>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</si>
  <si>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</si>
  <si>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</si>
  <si>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</si>
  <si>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</si>
  <si>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</si>
  <si>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</si>
  <si>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</si>
  <si>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</si>
  <si>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</si>
  <si>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</si>
  <si>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</si>
  <si>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</si>
  <si>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</si>
  <si>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</si>
  <si>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</si>
  <si>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</si>
  <si>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</si>
  <si>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</si>
  <si>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</si>
  <si>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</si>
  <si>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</si>
  <si>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</si>
  <si>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</si>
  <si>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</si>
  <si>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</si>
  <si>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</si>
  <si>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</si>
  <si>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</si>
  <si>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</si>
  <si>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</si>
  <si>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</si>
  <si>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</si>
  <si>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</si>
  <si>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</si>
  <si>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</si>
  <si>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</si>
  <si>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</si>
  <si>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</si>
  <si>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</si>
  <si>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</si>
  <si>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</si>
  <si>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</si>
  <si>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</si>
  <si>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</si>
  <si>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</si>
  <si>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</si>
  <si>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</si>
  <si>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</si>
  <si>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</si>
  <si>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</si>
  <si>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</si>
  <si>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</si>
  <si>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</si>
  <si>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</si>
  <si>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</si>
  <si>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</si>
  <si>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</si>
  <si>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</si>
  <si>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</si>
  <si>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</si>
  <si>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</si>
  <si>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</si>
  <si>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</si>
  <si>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</si>
  <si>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</si>
  <si>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Contas a Pagar e a Receber Mensal</t>
  </si>
  <si>
    <t>Evolução de Vendas - Conta Nível 2</t>
  </si>
  <si>
    <t>Total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</si>
  <si>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</si>
  <si>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</si>
  <si>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</si>
  <si>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</si>
  <si>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</si>
  <si>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</si>
  <si>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</si>
  <si>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ANUAL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</si>
  <si>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</si>
  <si>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</si>
  <si>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</si>
  <si>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</si>
  <si>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</si>
  <si>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</si>
  <si>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</si>
  <si>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</si>
  <si>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</si>
  <si>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Contas a pagar total</t>
  </si>
  <si>
    <t>Ago</t>
  </si>
  <si>
    <t>Entradas</t>
  </si>
  <si>
    <t>Contas a receber total</t>
  </si>
  <si>
    <t>Set</t>
  </si>
  <si>
    <t>Saídas</t>
  </si>
  <si>
    <t>Out</t>
  </si>
  <si>
    <t>Nov</t>
  </si>
  <si>
    <t>Dez</t>
  </si>
  <si>
    <t>Resultado</t>
  </si>
  <si>
    <t>Qtde.</t>
  </si>
  <si>
    <t>Média</t>
  </si>
  <si>
    <t>Minigráficos de contas a Pagar e a Receber</t>
  </si>
  <si>
    <t>Pagar Mensal</t>
  </si>
  <si>
    <t>Receber Mensal</t>
  </si>
  <si>
    <t>Gráfico</t>
  </si>
  <si>
    <t>Saldo do Caixa</t>
  </si>
  <si>
    <t>Saldo</t>
  </si>
  <si>
    <t xml:space="preserve">Perfil das Vendas </t>
  </si>
  <si>
    <t>À Vista</t>
  </si>
  <si>
    <t>A Prazo</t>
  </si>
  <si>
    <t>Atraso médio nas contas a receber</t>
  </si>
  <si>
    <t>Atraso médio nas contas a pagar</t>
  </si>
  <si>
    <t>Resultado no Período</t>
  </si>
  <si>
    <t>Despesa Mensal</t>
  </si>
  <si>
    <t>ANO:</t>
  </si>
  <si>
    <t>Ano:</t>
  </si>
  <si>
    <t>Evolução das vendas</t>
  </si>
  <si>
    <t>Saldo de Caixa</t>
  </si>
  <si>
    <t>Contas a Pagar</t>
  </si>
  <si>
    <t>Contas a Receber</t>
  </si>
  <si>
    <t>DASHBOARD FINANCEIRO - POSIÇÃO ANUAL</t>
  </si>
  <si>
    <t>Saldo Inicial</t>
  </si>
  <si>
    <t xml:space="preserve">  J   F  M   A   M   J    J    A   S   O   N   D</t>
  </si>
  <si>
    <t>Venda à Vista</t>
  </si>
  <si>
    <t>Dias de Atraso</t>
  </si>
  <si>
    <t>HOJE:</t>
  </si>
  <si>
    <t>DASHBOARD ATUAL (NO ANO DADO ATÉ "HOJE")</t>
  </si>
  <si>
    <t>DASHBOARD FINANCEIRO - POSIÇÃO ATUAL</t>
  </si>
  <si>
    <t>JeanFerreiradev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</si>
</sst>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R$&quot;\ #,##0;[Red]\-&quot;R$&quot;\ #,##0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#,##0_ ;[Red]\-#,##0\ "/>
    <numFmt numFmtId="166" formatCode="&quot;R$&quot;\ #,##0"/>
    <numFmt numFmtId="167" formatCode="&quot;R$&quot;\ #,##0.00"/>
  </numFmts>
  <fonts count="3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4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13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16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16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165" fontId="9" fillId="4" borderId="6" xfId="0" applyNumberFormat="1" applyFont="1" applyFill="1" applyBorder="1" applyAlignment="1">
      <alignment vertical="center"/>
    </xf>
    <xf numFmtId="165" fontId="9" fillId="4" borderId="11" xfId="0" applyNumberFormat="1" applyFont="1" applyFill="1" applyBorder="1" applyAlignment="1">
      <alignment vertical="center"/>
    </xf>
    <xf numFmtId="165" fontId="9" fillId="4" borderId="7" xfId="0" applyNumberFormat="1" applyFont="1" applyFill="1" applyBorder="1" applyAlignment="1">
      <alignment vertical="center"/>
    </xf>
    <xf numFmtId="165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4" fontId="0" fillId="4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1" fillId="0" borderId="16" xfId="0" applyFont="1" applyBorder="1" applyAlignment="1">
      <alignment horizontal="left" vertical="center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0" fillId="0" borderId="19" xfId="0" applyBorder="1"/>
    <xf numFmtId="0" fontId="11" fillId="0" borderId="0" xfId="0" applyFont="1" applyAlignment="1">
      <alignment vertical="center"/>
    </xf>
    <xf numFmtId="0" fontId="15" fillId="0" borderId="20" xfId="0" applyFont="1" applyBorder="1" applyAlignment="1">
      <alignment vertical="center" wrapText="1"/>
    </xf>
    <xf numFmtId="6" fontId="15" fillId="0" borderId="20" xfId="0" applyNumberFormat="1" applyFont="1" applyBorder="1" applyAlignment="1">
      <alignment horizontal="center" vertical="center"/>
    </xf>
    <xf numFmtId="6" fontId="16" fillId="0" borderId="20" xfId="0" applyNumberFormat="1" applyFont="1" applyBorder="1" applyAlignment="1">
      <alignment horizontal="center" vertical="center"/>
    </xf>
    <xf numFmtId="6" fontId="16" fillId="0" borderId="20" xfId="0" applyNumberFormat="1" applyFont="1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vertical="center"/>
    </xf>
    <xf numFmtId="6" fontId="16" fillId="0" borderId="23" xfId="0" applyNumberFormat="1" applyFont="1" applyBorder="1" applyAlignment="1">
      <alignment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20" xfId="0" applyBorder="1" applyAlignment="1">
      <alignment vertical="center"/>
    </xf>
    <xf numFmtId="0" fontId="11" fillId="0" borderId="20" xfId="0" applyFont="1" applyBorder="1" applyAlignment="1">
      <alignment horizontal="center" vertical="center"/>
    </xf>
    <xf numFmtId="6" fontId="17" fillId="0" borderId="29" xfId="0" applyNumberFormat="1" applyFont="1" applyBorder="1" applyAlignment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>
      <alignment vertical="center"/>
    </xf>
    <xf numFmtId="166" fontId="20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vertical="center"/>
    </xf>
    <xf numFmtId="167" fontId="21" fillId="0" borderId="31" xfId="0" applyNumberFormat="1" applyFont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43" fontId="0" fillId="0" borderId="0" xfId="1" applyFont="1" applyAlignment="1" applyProtection="1">
      <alignment vertical="center"/>
    </xf>
    <xf numFmtId="6" fontId="23" fillId="0" borderId="18" xfId="2" applyNumberFormat="1" applyFont="1" applyBorder="1" applyAlignment="1" applyProtection="1">
      <alignment horizontal="center" vertical="center"/>
    </xf>
    <xf numFmtId="6" fontId="24" fillId="0" borderId="18" xfId="2" applyNumberFormat="1" applyFont="1" applyBorder="1" applyAlignment="1" applyProtection="1">
      <alignment horizontal="center" vertical="center"/>
    </xf>
    <xf numFmtId="6" fontId="25" fillId="0" borderId="18" xfId="2" applyNumberFormat="1" applyFont="1" applyBorder="1" applyAlignment="1" applyProtection="1">
      <alignment horizontal="center" vertical="center"/>
    </xf>
    <xf numFmtId="167" fontId="21" fillId="0" borderId="28" xfId="0" applyNumberFormat="1" applyFont="1" applyBorder="1" applyAlignment="1">
      <alignment vertical="center"/>
    </xf>
    <xf numFmtId="0" fontId="22" fillId="0" borderId="31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3" fontId="18" fillId="0" borderId="28" xfId="0" applyNumberFormat="1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3" fontId="19" fillId="0" borderId="20" xfId="0" applyNumberFormat="1" applyFont="1" applyBorder="1" applyAlignment="1">
      <alignment vertical="center"/>
    </xf>
    <xf numFmtId="3" fontId="24" fillId="0" borderId="28" xfId="0" applyNumberFormat="1" applyFont="1" applyBorder="1" applyAlignment="1">
      <alignment horizontal="center" vertical="center"/>
    </xf>
    <xf numFmtId="3" fontId="16" fillId="0" borderId="20" xfId="0" applyNumberFormat="1" applyFont="1" applyBorder="1" applyAlignment="1">
      <alignment horizontal="center" vertical="center"/>
    </xf>
    <xf numFmtId="0" fontId="14" fillId="0" borderId="18" xfId="0" quotePrefix="1" applyFont="1" applyBorder="1"/>
    <xf numFmtId="0" fontId="26" fillId="0" borderId="0" xfId="0" applyFont="1" applyAlignment="1">
      <alignment vertical="center"/>
    </xf>
    <xf numFmtId="0" fontId="27" fillId="7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6" fillId="0" borderId="35" xfId="0" applyFont="1" applyBorder="1" applyAlignment="1">
      <alignment vertical="center"/>
    </xf>
    <xf numFmtId="0" fontId="26" fillId="0" borderId="36" xfId="0" applyFont="1" applyBorder="1" applyAlignment="1">
      <alignment horizontal="right" vertical="center"/>
    </xf>
    <xf numFmtId="0" fontId="26" fillId="0" borderId="36" xfId="0" applyFont="1" applyBorder="1" applyAlignment="1">
      <alignment horizontal="right" vertical="center" wrapText="1"/>
    </xf>
    <xf numFmtId="0" fontId="26" fillId="0" borderId="35" xfId="0" applyFont="1" applyBorder="1" applyAlignment="1">
      <alignment horizontal="right" vertical="center"/>
    </xf>
    <xf numFmtId="0" fontId="26" fillId="0" borderId="37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0" fontId="27" fillId="0" borderId="35" xfId="0" applyFont="1" applyBorder="1" applyAlignment="1">
      <alignment vertical="center"/>
    </xf>
    <xf numFmtId="0" fontId="27" fillId="0" borderId="37" xfId="0" applyFont="1" applyBorder="1" applyAlignment="1">
      <alignment vertical="center"/>
    </xf>
    <xf numFmtId="0" fontId="26" fillId="0" borderId="37" xfId="0" applyFont="1" applyBorder="1" applyAlignment="1">
      <alignment horizontal="right" vertical="center"/>
    </xf>
    <xf numFmtId="14" fontId="26" fillId="0" borderId="0" xfId="0" applyNumberFormat="1" applyFont="1" applyAlignment="1">
      <alignment vertical="center"/>
    </xf>
    <xf numFmtId="1" fontId="26" fillId="0" borderId="0" xfId="0" applyNumberFormat="1" applyFont="1" applyAlignment="1">
      <alignment vertical="center"/>
    </xf>
    <xf numFmtId="14" fontId="26" fillId="0" borderId="35" xfId="0" applyNumberFormat="1" applyFont="1" applyBorder="1" applyAlignment="1">
      <alignment horizontal="right" vertical="center"/>
    </xf>
    <xf numFmtId="43" fontId="26" fillId="4" borderId="35" xfId="1" applyFont="1" applyFill="1" applyBorder="1" applyAlignment="1">
      <alignment vertical="center"/>
    </xf>
    <xf numFmtId="43" fontId="26" fillId="4" borderId="0" xfId="1" applyFont="1" applyFill="1" applyBorder="1" applyAlignment="1">
      <alignment vertical="center"/>
    </xf>
    <xf numFmtId="43" fontId="28" fillId="4" borderId="37" xfId="1" applyFont="1" applyFill="1" applyBorder="1" applyAlignment="1">
      <alignment vertical="center"/>
    </xf>
    <xf numFmtId="43" fontId="26" fillId="4" borderId="37" xfId="1" applyFont="1" applyFill="1" applyBorder="1" applyAlignment="1">
      <alignment vertical="center"/>
    </xf>
    <xf numFmtId="43" fontId="26" fillId="4" borderId="35" xfId="1" applyFont="1" applyFill="1" applyBorder="1" applyAlignment="1">
      <alignment horizontal="right" vertical="center"/>
    </xf>
    <xf numFmtId="43" fontId="26" fillId="4" borderId="0" xfId="1" applyFont="1" applyFill="1" applyBorder="1" applyAlignment="1">
      <alignment horizontal="right" vertical="center"/>
    </xf>
    <xf numFmtId="43" fontId="26" fillId="4" borderId="37" xfId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left" vertical="center"/>
    </xf>
    <xf numFmtId="0" fontId="27" fillId="4" borderId="0" xfId="0" applyFont="1" applyFill="1" applyAlignment="1">
      <alignment vertical="center"/>
    </xf>
    <xf numFmtId="0" fontId="26" fillId="4" borderId="36" xfId="0" applyFont="1" applyFill="1" applyBorder="1" applyAlignment="1">
      <alignment vertical="center"/>
    </xf>
    <xf numFmtId="43" fontId="26" fillId="4" borderId="36" xfId="1" applyFont="1" applyFill="1" applyBorder="1" applyAlignment="1">
      <alignment horizontal="right" vertical="center"/>
    </xf>
    <xf numFmtId="3" fontId="26" fillId="4" borderId="36" xfId="0" applyNumberFormat="1" applyFont="1" applyFill="1" applyBorder="1" applyAlignment="1">
      <alignment vertical="center"/>
    </xf>
    <xf numFmtId="166" fontId="26" fillId="4" borderId="38" xfId="0" applyNumberFormat="1" applyFont="1" applyFill="1" applyBorder="1" applyAlignment="1">
      <alignment horizontal="right" vertical="center"/>
    </xf>
    <xf numFmtId="6" fontId="29" fillId="4" borderId="38" xfId="0" applyNumberFormat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right" vertical="center" wrapText="1"/>
    </xf>
    <xf numFmtId="166" fontId="26" fillId="4" borderId="36" xfId="0" applyNumberFormat="1" applyFont="1" applyFill="1" applyBorder="1" applyAlignment="1">
      <alignment vertical="center"/>
    </xf>
    <xf numFmtId="0" fontId="26" fillId="8" borderId="0" xfId="0" applyFont="1" applyFill="1" applyAlignment="1">
      <alignment vertical="center"/>
    </xf>
    <xf numFmtId="0" fontId="30" fillId="4" borderId="0" xfId="0" applyFont="1" applyFill="1" applyAlignment="1">
      <alignment vertical="center"/>
    </xf>
    <xf numFmtId="0" fontId="26" fillId="4" borderId="38" xfId="0" applyFont="1" applyFill="1" applyBorder="1" applyAlignment="1">
      <alignment horizontal="right" vertical="center"/>
    </xf>
    <xf numFmtId="14" fontId="30" fillId="4" borderId="0" xfId="0" applyNumberFormat="1" applyFont="1" applyFill="1" applyAlignment="1">
      <alignment vertical="center"/>
    </xf>
    <xf numFmtId="14" fontId="26" fillId="8" borderId="0" xfId="0" applyNumberFormat="1" applyFont="1" applyFill="1" applyAlignment="1">
      <alignment vertical="center"/>
    </xf>
    <xf numFmtId="0" fontId="3" fillId="3" borderId="0" xfId="0" applyFont="1" applyFill="1" applyProtection="1">
      <protection locked="0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3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6.xml"/><Relationship Id="rId3" Type="http://schemas.openxmlformats.org/officeDocument/2006/relationships/worksheet" Target="worksheets/sheet3.xml"/><Relationship Id="rId21" Type="http://schemas.microsoft.com/office/2007/relationships/slicerCache" Target="slicerCaches/slicerCach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microsoft.com/office/2007/relationships/slicerCache" Target="slicerCaches/slicerCache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3.xml"/><Relationship Id="rId28" Type="http://schemas.microsoft.com/office/2007/relationships/slicerCache" Target="slicerCaches/slicerCache8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2.xml"/><Relationship Id="rId27" Type="http://schemas.microsoft.com/office/2007/relationships/slicerCache" Target="slicerCaches/slicerCache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DashBoardFinanceiroAnualD!$K$5:$K$16</c:f>
              <c:numCache>
                <c:formatCode>_(* #,##0.00_);_(* \(#,##0.00\);_(* "-"??_);_(@_)</c:formatCode>
                <c:ptCount val="12"/>
                <c:pt idx="0">
                  <c:v>2564</c:v>
                </c:pt>
                <c:pt idx="1">
                  <c:v>4732</c:v>
                </c:pt>
                <c:pt idx="2">
                  <c:v>5489</c:v>
                </c:pt>
                <c:pt idx="3">
                  <c:v>618</c:v>
                </c:pt>
                <c:pt idx="4">
                  <c:v>1654</c:v>
                </c:pt>
                <c:pt idx="5">
                  <c:v>555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10C-4B28-8295-B7EC7D786E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357264"/>
        <c:axId val="457347464"/>
      </c:lineChart>
      <c:catAx>
        <c:axId val="45735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47464"/>
        <c:crosses val="autoZero"/>
        <c:auto val="1"/>
        <c:lblAlgn val="ctr"/>
        <c:lblOffset val="100"/>
        <c:noMultiLvlLbl val="0"/>
      </c:catAx>
      <c:valAx>
        <c:axId val="45734746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91314167124457E-2"/>
          <c:y val="8.9710214794579246E-2"/>
          <c:w val="0.59205517914911798"/>
          <c:h val="0.865931044333744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5D-409E-8B5A-9B61CC182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5D-409E-8B5A-9B61CC182D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DashBoardFinanceiroAnualD!$C$21:$D$21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DashBoardFinanceiroAnualD!$C$22:$D$22</c:f>
              <c:numCache>
                <c:formatCode>_(* #,##0.00_);_(* \(#,##0.00\);_(* "-"??_);_(@_)</c:formatCode>
                <c:ptCount val="2"/>
                <c:pt idx="0">
                  <c:v>43768</c:v>
                </c:pt>
                <c:pt idx="1">
                  <c:v>86891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5D-409E-8B5A-9B61CC182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4D-4208-95C5-D0D32066441E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DashBoardFinanceiroAnualD!$C$32:$D$32</c:f>
              <c:numCache>
                <c:formatCode>"R$"\ #,##0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4D-4208-95C5-D0D3206644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0"/>
        <c:axId val="457350992"/>
        <c:axId val="457354520"/>
      </c:barChart>
      <c:catAx>
        <c:axId val="45735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4520"/>
        <c:crosses val="autoZero"/>
        <c:auto val="1"/>
        <c:lblAlgn val="ctr"/>
        <c:lblOffset val="100"/>
        <c:noMultiLvlLbl val="0"/>
      </c:catAx>
      <c:valAx>
        <c:axId val="457354520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45735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DashBoardFinanceiroAnualD!$H$32:$H$43</c:f>
              <c:numCache>
                <c:formatCode>_(* #,##0.00_);_(* \(#,##0.00\);_(* "-"??_);_(@_)</c:formatCode>
                <c:ptCount val="12"/>
                <c:pt idx="0">
                  <c:v>14690</c:v>
                </c:pt>
                <c:pt idx="1">
                  <c:v>6991</c:v>
                </c:pt>
                <c:pt idx="2">
                  <c:v>8219</c:v>
                </c:pt>
                <c:pt idx="3">
                  <c:v>19692</c:v>
                </c:pt>
                <c:pt idx="4">
                  <c:v>16406</c:v>
                </c:pt>
                <c:pt idx="5">
                  <c:v>5157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6A-4F23-94F3-33DC72D12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457356088"/>
        <c:axId val="457356872"/>
      </c:barChart>
      <c:catAx>
        <c:axId val="457356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6872"/>
        <c:crosses val="autoZero"/>
        <c:auto val="1"/>
        <c:lblAlgn val="ctr"/>
        <c:lblOffset val="100"/>
        <c:noMultiLvlLbl val="0"/>
      </c:catAx>
      <c:valAx>
        <c:axId val="457356872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DashBoardFinanceiroAtualD!$L$5:$L$16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DashBoardFinanceiroAtualD!$K$5:$K$16</c:f>
              <c:numCache>
                <c:formatCode>_(* #,##0.00_);_(* \(#,##0.00\);_(* "-"??_);_(@_)</c:formatCode>
                <c:ptCount val="12"/>
                <c:pt idx="0">
                  <c:v>#N/A</c:v>
                </c:pt>
                <c:pt idx="1">
                  <c:v>5718</c:v>
                </c:pt>
                <c:pt idx="2">
                  <c:v>4918</c:v>
                </c:pt>
                <c:pt idx="3">
                  <c:v>3446</c:v>
                </c:pt>
                <c:pt idx="4">
                  <c:v>611</c:v>
                </c:pt>
                <c:pt idx="5">
                  <c:v>3224</c:v>
                </c:pt>
                <c:pt idx="6">
                  <c:v>1306</c:v>
                </c:pt>
                <c:pt idx="7">
                  <c:v>#N/A</c:v>
                </c:pt>
                <c:pt idx="8">
                  <c:v>6637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A5E-4B4B-91F0-263E635ED0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7359616"/>
        <c:axId val="457360008"/>
      </c:lineChart>
      <c:catAx>
        <c:axId val="45735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60008"/>
        <c:crosses val="autoZero"/>
        <c:auto val="1"/>
        <c:lblAlgn val="ctr"/>
        <c:lblOffset val="100"/>
        <c:noMultiLvlLbl val="0"/>
      </c:catAx>
      <c:valAx>
        <c:axId val="457360008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91314167124457E-2"/>
          <c:y val="8.9710214794579246E-2"/>
          <c:w val="0.59205517914911798"/>
          <c:h val="0.865931044333744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80-4682-B24B-264A2910F6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80-4682-B24B-264A2910F6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DashBoardFinanceiroAtualD!$C$21:$D$21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DashBoardFinanceiroAtualD!$C$22:$D$22</c:f>
              <c:numCache>
                <c:formatCode>_(* #,##0.00_);_(* \(#,##0.00\);_(* "-"??_);_(@_)</c:formatCode>
                <c:ptCount val="2"/>
                <c:pt idx="0">
                  <c:v>82959</c:v>
                </c:pt>
                <c:pt idx="1">
                  <c:v>188812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80-4682-B24B-264A2910F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576-4180-AC80-C2D6A1446AC7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DashBoardFinanceiroAtualD!$C$31:$D$31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DashBoardFinanceiroAtualD!$C$32:$D$32</c:f>
              <c:numCache>
                <c:formatCode>"R$"\ #,##0</c:formatCode>
                <c:ptCount val="2"/>
                <c:pt idx="0">
                  <c:v>271771</c:v>
                </c:pt>
                <c:pt idx="1">
                  <c:v>260299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76-4180-AC80-C2D6A1446A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"/>
        <c:overlap val="-10"/>
        <c:axId val="457357656"/>
        <c:axId val="457358048"/>
      </c:barChart>
      <c:catAx>
        <c:axId val="45735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8048"/>
        <c:crosses val="autoZero"/>
        <c:auto val="1"/>
        <c:lblAlgn val="ctr"/>
        <c:lblOffset val="100"/>
        <c:noMultiLvlLbl val="0"/>
      </c:catAx>
      <c:valAx>
        <c:axId val="457358048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457357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DashBoardFinanceiroAtualD!$G$32:$G$43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DashBoardFinanceiroAtualD!$H$32:$H$43</c:f>
              <c:numCache>
                <c:formatCode>_(* #,##0.00_);_(* \(#,##0.00\);_(* "-"??_);_(@_)</c:formatCode>
                <c:ptCount val="12"/>
                <c:pt idx="0">
                  <c:v>17594</c:v>
                </c:pt>
                <c:pt idx="1">
                  <c:v>10118</c:v>
                </c:pt>
                <c:pt idx="2">
                  <c:v>13923</c:v>
                </c:pt>
                <c:pt idx="3">
                  <c:v>4589</c:v>
                </c:pt>
                <c:pt idx="4">
                  <c:v>11951</c:v>
                </c:pt>
                <c:pt idx="5">
                  <c:v>9315</c:v>
                </c:pt>
                <c:pt idx="6">
                  <c:v>10808</c:v>
                </c:pt>
                <c:pt idx="7">
                  <c:v>1054</c:v>
                </c:pt>
                <c:pt idx="8">
                  <c:v>10094</c:v>
                </c:pt>
                <c:pt idx="9">
                  <c:v>7029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4-4BE2-8402-6EA8EE6FC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457358832"/>
        <c:axId val="457359224"/>
      </c:barChart>
      <c:catAx>
        <c:axId val="4573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7359224"/>
        <c:crosses val="autoZero"/>
        <c:auto val="1"/>
        <c:lblAlgn val="ctr"/>
        <c:lblOffset val="100"/>
        <c:noMultiLvlLbl val="0"/>
      </c:catAx>
      <c:valAx>
        <c:axId val="45735922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5735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hyperlink" Target="#In&#237;cio!A1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1028700</xdr:colOff>
      <xdr:row>1</xdr:row>
      <xdr:rowOff>28574</xdr:rowOff>
    </xdr:from>
    <xdr:to>
      <xdr:col>3</xdr:col>
      <xdr:colOff>66675</xdr:colOff>
      <xdr:row>1</xdr:row>
      <xdr:rowOff>924974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Previsto">
              <a:extLst>
                <a:ext uri="{FF2B5EF4-FFF2-40B4-BE49-F238E27FC236}">
                  <a16:creationId xmlns:a16="http://schemas.microsoft.com/office/drawing/2014/main" id="{00000000-0008-0000-0B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533399"/>
              <a:ext cx="18669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352424</xdr:colOff>
      <xdr:row>1</xdr:row>
      <xdr:rowOff>38100</xdr:rowOff>
    </xdr:from>
    <xdr:to>
      <xdr:col>6</xdr:col>
      <xdr:colOff>723899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49" y="542925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1028700</xdr:colOff>
      <xdr:row>1</xdr:row>
      <xdr:rowOff>38101</xdr:rowOff>
    </xdr:from>
    <xdr:to>
      <xdr:col>3</xdr:col>
      <xdr:colOff>180975</xdr:colOff>
      <xdr:row>1</xdr:row>
      <xdr:rowOff>933451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Previsto 1">
              <a:extLst>
                <a:ext uri="{FF2B5EF4-FFF2-40B4-BE49-F238E27FC236}">
                  <a16:creationId xmlns:a16="http://schemas.microsoft.com/office/drawing/2014/main" id="{00000000-0008-0000-0C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0" y="542926"/>
              <a:ext cx="1981200" cy="895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1143000</xdr:colOff>
      <xdr:row>1</xdr:row>
      <xdr:rowOff>38100</xdr:rowOff>
    </xdr:from>
    <xdr:to>
      <xdr:col>4</xdr:col>
      <xdr:colOff>0</xdr:colOff>
      <xdr:row>1</xdr:row>
      <xdr:rowOff>685800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542925"/>
              <a:ext cx="24669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19051</xdr:colOff>
      <xdr:row>4</xdr:row>
      <xdr:rowOff>57150</xdr:rowOff>
    </xdr:from>
    <xdr:to>
      <xdr:col>9</xdr:col>
      <xdr:colOff>266701</xdr:colOff>
      <xdr:row>10</xdr:row>
      <xdr:rowOff>257175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114299</xdr:colOff>
      <xdr:row>12</xdr:row>
      <xdr:rowOff>219075</xdr:rowOff>
    </xdr:from>
    <xdr:to>
      <xdr:col>3</xdr:col>
      <xdr:colOff>2047874</xdr:colOff>
      <xdr:row>18</xdr:row>
      <xdr:rowOff>228600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13</xdr:row>
      <xdr:rowOff>238124</xdr:rowOff>
    </xdr:from>
    <xdr:to>
      <xdr:col>8</xdr:col>
      <xdr:colOff>2257426</xdr:colOff>
      <xdr:row>18</xdr:row>
      <xdr:rowOff>247649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9526</xdr:colOff>
      <xdr:row>15</xdr:row>
      <xdr:rowOff>38100</xdr:rowOff>
    </xdr:from>
    <xdr:to>
      <xdr:col>10</xdr:col>
      <xdr:colOff>2476500</xdr:colOff>
      <xdr:row>18</xdr:row>
      <xdr:rowOff>228601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42876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19051</xdr:colOff>
      <xdr:row>4</xdr:row>
      <xdr:rowOff>57150</xdr:rowOff>
    </xdr:from>
    <xdr:to>
      <xdr:col>9</xdr:col>
      <xdr:colOff>266701</xdr:colOff>
      <xdr:row>10</xdr:row>
      <xdr:rowOff>257175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114299</xdr:colOff>
      <xdr:row>12</xdr:row>
      <xdr:rowOff>219075</xdr:rowOff>
    </xdr:from>
    <xdr:to>
      <xdr:col>3</xdr:col>
      <xdr:colOff>2047874</xdr:colOff>
      <xdr:row>18</xdr:row>
      <xdr:rowOff>228600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13</xdr:row>
      <xdr:rowOff>238124</xdr:rowOff>
    </xdr:from>
    <xdr:to>
      <xdr:col>8</xdr:col>
      <xdr:colOff>2257426</xdr:colOff>
      <xdr:row>18</xdr:row>
      <xdr:rowOff>247649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9526</xdr:colOff>
      <xdr:row>15</xdr:row>
      <xdr:rowOff>38100</xdr:rowOff>
    </xdr:from>
    <xdr:to>
      <xdr:col>10</xdr:col>
      <xdr:colOff>2476500</xdr:colOff>
      <xdr:row>18</xdr:row>
      <xdr:rowOff>228601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io" refreshedDate="43625.803340509257" createdVersion="5" refreshedVersion="5" minRefreshableVersion="3" recordCount="231" xr:uid="{00000000-000A-0000-FFFF-FFFF00000000}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5T04:49:36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1"/>
        <n v="2"/>
        <n v="3"/>
        <n v="4"/>
        <n v="5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"/>
        <n v="12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io" refreshedDate="43627.395537268516" createdVersion="5" refreshedVersion="5" minRefreshableVersion="3" recordCount="229" xr:uid="{00000000-000A-0000-FFFF-FFFF01000000}">
  <cacheSource type="worksheet">
    <worksheetSource name="TbRegistroSaídas"/>
  </cacheSource>
  <cacheFields count="14">
    <cacheField name="Data do Caixa Realizado" numFmtId="14">
      <sharedItems containsDate="1" containsMixedTypes="1" minDate="2017-09-02T00:00:00" maxDate="2019-07-19T00:00:00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0:00:00" maxDate="2019-08-10T00:00:00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2"/>
        <n v="1"/>
        <n v="2"/>
        <n v="3"/>
        <n v="4"/>
        <n v="6"/>
        <n v="5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Dias de Atraso" numFmtId="0">
      <sharedItems containsSemiMixedTypes="0" containsString="0" containsNumber="1" containsInteger="1" minValue="0" maxValue="643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0"/>
  </r>
  <r>
    <s v=""/>
    <d v="2017-09-10T00:00:00"/>
    <d v="2017-10-05T22:54:12"/>
    <x v="0"/>
    <x v="1"/>
    <s v="NF2421"/>
    <n v="4983"/>
    <x v="4"/>
    <n v="0"/>
    <x v="1"/>
    <x v="0"/>
    <x v="2"/>
    <x v="0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0"/>
  </r>
  <r>
    <d v="2017-09-24T20:33:31"/>
    <d v="2017-09-16T00:00:00"/>
    <d v="2017-09-24T20:33:31"/>
    <x v="0"/>
    <x v="1"/>
    <s v="NF8674"/>
    <n v="2337"/>
    <x v="0"/>
    <n v="2017"/>
    <x v="1"/>
    <x v="0"/>
    <x v="1"/>
    <x v="0"/>
    <x v="0"/>
  </r>
  <r>
    <d v="2017-09-23T00:00:00"/>
    <d v="2017-09-23T00:00:00"/>
    <d v="2017-09-23T00:00:00"/>
    <x v="0"/>
    <x v="4"/>
    <s v="NF5880"/>
    <n v="3125"/>
    <x v="0"/>
    <n v="2017"/>
    <x v="1"/>
    <x v="0"/>
    <x v="1"/>
    <x v="0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0"/>
  </r>
  <r>
    <d v="2017-10-10T19:13:07"/>
    <d v="2017-09-27T00:00:00"/>
    <d v="2017-10-10T19:13:07"/>
    <x v="0"/>
    <x v="0"/>
    <s v="NF3303"/>
    <n v="4380"/>
    <x v="1"/>
    <n v="2017"/>
    <x v="1"/>
    <x v="0"/>
    <x v="2"/>
    <x v="0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0"/>
  </r>
  <r>
    <d v="2017-12-07T07:52:03"/>
    <d v="2017-10-04T00:00:00"/>
    <d v="2017-10-17T23:52:55"/>
    <x v="0"/>
    <x v="2"/>
    <s v="NF6107"/>
    <n v="4590"/>
    <x v="3"/>
    <n v="2017"/>
    <x v="2"/>
    <x v="0"/>
    <x v="2"/>
    <x v="0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0"/>
  </r>
  <r>
    <d v="2017-11-04T07:09:50"/>
    <d v="2017-10-09T00:00:00"/>
    <d v="2017-11-04T07:09:50"/>
    <x v="0"/>
    <x v="0"/>
    <s v="NF5012"/>
    <n v="1171"/>
    <x v="2"/>
    <n v="2017"/>
    <x v="2"/>
    <x v="0"/>
    <x v="3"/>
    <x v="0"/>
    <x v="0"/>
  </r>
  <r>
    <d v="2017-11-21T21:49:29"/>
    <d v="2017-10-11T00:00:00"/>
    <d v="2017-11-21T21:49:29"/>
    <x v="0"/>
    <x v="1"/>
    <s v="NF7669"/>
    <n v="2587"/>
    <x v="2"/>
    <n v="2017"/>
    <x v="2"/>
    <x v="0"/>
    <x v="3"/>
    <x v="0"/>
    <x v="0"/>
  </r>
  <r>
    <s v=""/>
    <d v="2017-10-15T00:00:00"/>
    <d v="2017-11-06T02:31:43"/>
    <x v="0"/>
    <x v="1"/>
    <s v="NF7663"/>
    <n v="3425"/>
    <x v="4"/>
    <n v="0"/>
    <x v="2"/>
    <x v="0"/>
    <x v="3"/>
    <x v="0"/>
    <x v="1"/>
  </r>
  <r>
    <d v="2018-01-13T22:18:11"/>
    <d v="2017-10-18T00:00:00"/>
    <d v="2017-10-18T00:00:00"/>
    <x v="0"/>
    <x v="2"/>
    <s v="NF4063"/>
    <n v="4454"/>
    <x v="5"/>
    <n v="2018"/>
    <x v="2"/>
    <x v="0"/>
    <x v="2"/>
    <x v="0"/>
    <x v="0"/>
  </r>
  <r>
    <d v="2017-10-22T00:00:00"/>
    <d v="2017-10-22T00:00:00"/>
    <d v="2017-10-22T00:00:00"/>
    <x v="0"/>
    <x v="0"/>
    <s v="NF4290"/>
    <n v="2134"/>
    <x v="1"/>
    <n v="2017"/>
    <x v="2"/>
    <x v="0"/>
    <x v="2"/>
    <x v="0"/>
    <x v="0"/>
  </r>
  <r>
    <d v="2017-10-24T00:00:00"/>
    <d v="2017-10-24T00:00:00"/>
    <d v="2017-10-24T00:00:00"/>
    <x v="0"/>
    <x v="3"/>
    <s v="NF7319"/>
    <n v="257"/>
    <x v="1"/>
    <n v="2017"/>
    <x v="2"/>
    <x v="0"/>
    <x v="2"/>
    <x v="0"/>
    <x v="0"/>
  </r>
  <r>
    <d v="2018-01-22T14:11:45"/>
    <d v="2017-10-24T00:00:00"/>
    <d v="2017-11-29T02:08:45"/>
    <x v="0"/>
    <x v="4"/>
    <s v="NF7020"/>
    <n v="2019"/>
    <x v="5"/>
    <n v="2018"/>
    <x v="2"/>
    <x v="0"/>
    <x v="3"/>
    <x v="0"/>
    <x v="0"/>
  </r>
  <r>
    <d v="2017-10-26T00:00:00"/>
    <d v="2017-10-26T00:00:00"/>
    <d v="2017-10-26T00:00:00"/>
    <x v="0"/>
    <x v="1"/>
    <s v="NF7221"/>
    <n v="3696"/>
    <x v="1"/>
    <n v="2017"/>
    <x v="2"/>
    <x v="0"/>
    <x v="2"/>
    <x v="0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0"/>
  </r>
  <r>
    <s v=""/>
    <d v="2017-11-01T00:00:00"/>
    <d v="2017-11-18T14:20:32"/>
    <x v="0"/>
    <x v="4"/>
    <s v="NF8690"/>
    <n v="1445"/>
    <x v="4"/>
    <n v="0"/>
    <x v="3"/>
    <x v="0"/>
    <x v="3"/>
    <x v="0"/>
    <x v="1"/>
  </r>
  <r>
    <d v="2018-01-17T02:41:46"/>
    <d v="2017-11-04T00:00:00"/>
    <d v="2017-11-29T13:59:41"/>
    <x v="0"/>
    <x v="0"/>
    <s v="NF3424"/>
    <n v="3559"/>
    <x v="5"/>
    <n v="2018"/>
    <x v="3"/>
    <x v="0"/>
    <x v="3"/>
    <x v="0"/>
    <x v="0"/>
  </r>
  <r>
    <d v="2017-11-08T00:00:00"/>
    <d v="2017-11-08T00:00:00"/>
    <d v="2017-11-08T00:00:00"/>
    <x v="0"/>
    <x v="1"/>
    <s v="NF5808"/>
    <n v="547"/>
    <x v="2"/>
    <n v="2017"/>
    <x v="3"/>
    <x v="0"/>
    <x v="3"/>
    <x v="0"/>
    <x v="0"/>
  </r>
  <r>
    <d v="2017-12-08T00:11:39"/>
    <d v="2017-11-12T00:00:00"/>
    <d v="2017-11-12T00:00:00"/>
    <x v="0"/>
    <x v="1"/>
    <s v="NF2852"/>
    <n v="1221"/>
    <x v="3"/>
    <n v="2017"/>
    <x v="3"/>
    <x v="0"/>
    <x v="3"/>
    <x v="0"/>
    <x v="0"/>
  </r>
  <r>
    <d v="2018-01-01T15:18:48"/>
    <d v="2017-11-14T00:00:00"/>
    <d v="2018-01-01T15:18:48"/>
    <x v="0"/>
    <x v="4"/>
    <s v="NF2347"/>
    <n v="4108"/>
    <x v="5"/>
    <n v="2018"/>
    <x v="3"/>
    <x v="0"/>
    <x v="4"/>
    <x v="1"/>
    <x v="0"/>
  </r>
  <r>
    <d v="2017-11-16T00:00:00"/>
    <d v="2017-11-16T00:00:00"/>
    <d v="2017-11-16T00:00:00"/>
    <x v="0"/>
    <x v="1"/>
    <s v="NF7848"/>
    <n v="3714"/>
    <x v="2"/>
    <n v="2017"/>
    <x v="3"/>
    <x v="0"/>
    <x v="3"/>
    <x v="0"/>
    <x v="0"/>
  </r>
  <r>
    <s v=""/>
    <d v="2017-11-18T00:00:00"/>
    <d v="2018-01-01T09:02:08"/>
    <x v="0"/>
    <x v="3"/>
    <s v="NF4449"/>
    <n v="4843"/>
    <x v="4"/>
    <n v="0"/>
    <x v="3"/>
    <x v="0"/>
    <x v="4"/>
    <x v="1"/>
    <x v="1"/>
  </r>
  <r>
    <d v="2017-12-21T15:01:36"/>
    <d v="2017-11-19T00:00:00"/>
    <d v="2017-12-21T15:01:36"/>
    <x v="0"/>
    <x v="2"/>
    <s v="NF7540"/>
    <n v="4831"/>
    <x v="3"/>
    <n v="2017"/>
    <x v="3"/>
    <x v="0"/>
    <x v="5"/>
    <x v="0"/>
    <x v="0"/>
  </r>
  <r>
    <d v="2017-11-20T00:00:00"/>
    <d v="2017-11-20T00:00:00"/>
    <d v="2017-11-20T00:00:00"/>
    <x v="0"/>
    <x v="1"/>
    <s v="NF7741"/>
    <n v="2072"/>
    <x v="2"/>
    <n v="2017"/>
    <x v="3"/>
    <x v="0"/>
    <x v="3"/>
    <x v="0"/>
    <x v="0"/>
  </r>
  <r>
    <d v="2018-01-22T15:22:36"/>
    <d v="2017-11-24T00:00:00"/>
    <d v="2018-01-22T15:22:36"/>
    <x v="0"/>
    <x v="0"/>
    <s v="NF6190"/>
    <n v="3992"/>
    <x v="5"/>
    <n v="2018"/>
    <x v="3"/>
    <x v="0"/>
    <x v="4"/>
    <x v="1"/>
    <x v="0"/>
  </r>
  <r>
    <d v="2018-01-14T06:31:58"/>
    <d v="2017-11-29T00:00:00"/>
    <d v="2017-11-29T00:00:00"/>
    <x v="0"/>
    <x v="3"/>
    <s v="NF4129"/>
    <n v="1284"/>
    <x v="5"/>
    <n v="2018"/>
    <x v="3"/>
    <x v="0"/>
    <x v="3"/>
    <x v="0"/>
    <x v="0"/>
  </r>
  <r>
    <d v="2017-12-04T00:00:00"/>
    <d v="2017-12-04T00:00:00"/>
    <d v="2017-12-04T00:00:00"/>
    <x v="0"/>
    <x v="0"/>
    <s v="NF6811"/>
    <n v="4073"/>
    <x v="3"/>
    <n v="2017"/>
    <x v="4"/>
    <x v="0"/>
    <x v="5"/>
    <x v="0"/>
    <x v="0"/>
  </r>
  <r>
    <d v="2017-12-04T00:00:00"/>
    <d v="2017-12-04T00:00:00"/>
    <d v="2017-12-04T00:00:00"/>
    <x v="0"/>
    <x v="3"/>
    <s v="NF1550"/>
    <n v="3008"/>
    <x v="3"/>
    <n v="2017"/>
    <x v="4"/>
    <x v="0"/>
    <x v="5"/>
    <x v="0"/>
    <x v="0"/>
  </r>
  <r>
    <d v="2018-01-03T13:42:09"/>
    <d v="2017-12-11T00:00:00"/>
    <d v="2017-12-11T00:00:00"/>
    <x v="0"/>
    <x v="3"/>
    <s v="NF7213"/>
    <n v="1267"/>
    <x v="5"/>
    <n v="2018"/>
    <x v="4"/>
    <x v="0"/>
    <x v="5"/>
    <x v="0"/>
    <x v="0"/>
  </r>
  <r>
    <d v="2018-01-03T00:39:23"/>
    <d v="2017-12-13T00:00:00"/>
    <d v="2018-01-03T00:39:23"/>
    <x v="0"/>
    <x v="3"/>
    <s v="NF8396"/>
    <n v="284"/>
    <x v="5"/>
    <n v="2018"/>
    <x v="4"/>
    <x v="0"/>
    <x v="4"/>
    <x v="1"/>
    <x v="0"/>
  </r>
  <r>
    <d v="2017-12-17T18:42:03"/>
    <d v="2017-12-14T00:00:00"/>
    <d v="2017-12-17T18:42:03"/>
    <x v="0"/>
    <x v="1"/>
    <s v="NF2432"/>
    <n v="2046"/>
    <x v="3"/>
    <n v="2017"/>
    <x v="4"/>
    <x v="0"/>
    <x v="5"/>
    <x v="0"/>
    <x v="0"/>
  </r>
  <r>
    <d v="2018-01-22T18:55:36"/>
    <d v="2017-12-16T00:00:00"/>
    <d v="2018-01-22T18:55:36"/>
    <x v="0"/>
    <x v="0"/>
    <s v="NF4722"/>
    <n v="3880"/>
    <x v="5"/>
    <n v="2018"/>
    <x v="4"/>
    <x v="0"/>
    <x v="4"/>
    <x v="1"/>
    <x v="0"/>
  </r>
  <r>
    <d v="2018-01-23T01:19:12"/>
    <d v="2017-12-17T00:00:00"/>
    <d v="2018-01-23T01:19:12"/>
    <x v="0"/>
    <x v="0"/>
    <s v="NF8944"/>
    <n v="3149"/>
    <x v="5"/>
    <n v="2018"/>
    <x v="4"/>
    <x v="0"/>
    <x v="4"/>
    <x v="1"/>
    <x v="0"/>
  </r>
  <r>
    <d v="2018-01-25T11:04:56"/>
    <d v="2017-12-19T00:00:00"/>
    <d v="2018-01-25T11:04:56"/>
    <x v="0"/>
    <x v="1"/>
    <s v="NF2816"/>
    <n v="668"/>
    <x v="5"/>
    <n v="2018"/>
    <x v="4"/>
    <x v="0"/>
    <x v="4"/>
    <x v="1"/>
    <x v="0"/>
  </r>
  <r>
    <d v="2017-12-20T00:00:00"/>
    <d v="2017-12-20T00:00:00"/>
    <d v="2017-12-20T00:00:00"/>
    <x v="0"/>
    <x v="2"/>
    <s v="NF6358"/>
    <n v="3721"/>
    <x v="3"/>
    <n v="2017"/>
    <x v="4"/>
    <x v="0"/>
    <x v="5"/>
    <x v="0"/>
    <x v="0"/>
  </r>
  <r>
    <d v="2018-02-02T19:42:39"/>
    <d v="2017-12-22T00:00:00"/>
    <d v="2018-02-02T19:42:39"/>
    <x v="0"/>
    <x v="0"/>
    <s v="NF8459"/>
    <n v="3114"/>
    <x v="6"/>
    <n v="2018"/>
    <x v="4"/>
    <x v="0"/>
    <x v="6"/>
    <x v="1"/>
    <x v="0"/>
  </r>
  <r>
    <d v="2018-03-23T23:50:59"/>
    <d v="2017-12-26T00:00:00"/>
    <d v="2017-12-26T00:00:00"/>
    <x v="0"/>
    <x v="1"/>
    <s v="NF5737"/>
    <n v="1436"/>
    <x v="7"/>
    <n v="2018"/>
    <x v="4"/>
    <x v="0"/>
    <x v="5"/>
    <x v="0"/>
    <x v="0"/>
  </r>
  <r>
    <d v="2018-01-01T16:21:35"/>
    <d v="2017-12-30T00:00:00"/>
    <d v="2018-01-01T16:21:35"/>
    <x v="0"/>
    <x v="1"/>
    <s v="NF8895"/>
    <n v="3192"/>
    <x v="5"/>
    <n v="2018"/>
    <x v="4"/>
    <x v="0"/>
    <x v="4"/>
    <x v="1"/>
    <x v="0"/>
  </r>
  <r>
    <d v="2018-02-13T01:41:49"/>
    <d v="2017-12-31T00:00:00"/>
    <d v="2018-02-13T01:41:49"/>
    <x v="0"/>
    <x v="2"/>
    <s v="NF2196"/>
    <n v="2687"/>
    <x v="6"/>
    <n v="2018"/>
    <x v="4"/>
    <x v="0"/>
    <x v="6"/>
    <x v="1"/>
    <x v="0"/>
  </r>
  <r>
    <s v=""/>
    <d v="2018-01-03T00:00:00"/>
    <d v="2018-02-28T18:26:30"/>
    <x v="0"/>
    <x v="1"/>
    <s v="NF1631"/>
    <n v="1561"/>
    <x v="4"/>
    <n v="0"/>
    <x v="5"/>
    <x v="1"/>
    <x v="6"/>
    <x v="1"/>
    <x v="1"/>
  </r>
  <r>
    <d v="2018-02-24T02:24:06"/>
    <d v="2018-01-09T00:00:00"/>
    <d v="2018-01-13T12:51:39"/>
    <x v="0"/>
    <x v="1"/>
    <s v="NF9340"/>
    <n v="1573"/>
    <x v="6"/>
    <n v="2018"/>
    <x v="5"/>
    <x v="1"/>
    <x v="4"/>
    <x v="1"/>
    <x v="0"/>
  </r>
  <r>
    <d v="2018-01-17T00:00:00"/>
    <d v="2018-01-17T00:00:00"/>
    <d v="2018-01-17T00:00:00"/>
    <x v="0"/>
    <x v="1"/>
    <s v="NF6851"/>
    <n v="1364"/>
    <x v="5"/>
    <n v="2018"/>
    <x v="5"/>
    <x v="1"/>
    <x v="4"/>
    <x v="1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0"/>
  </r>
  <r>
    <d v="2018-02-14T22:19:33"/>
    <d v="2018-01-22T00:00:00"/>
    <d v="2018-02-14T22:19:33"/>
    <x v="0"/>
    <x v="2"/>
    <s v="NF7526"/>
    <n v="3928"/>
    <x v="6"/>
    <n v="2018"/>
    <x v="5"/>
    <x v="1"/>
    <x v="6"/>
    <x v="1"/>
    <x v="0"/>
  </r>
  <r>
    <d v="2018-02-11T17:07:34"/>
    <d v="2018-01-24T00:00:00"/>
    <d v="2018-02-11T17:07:34"/>
    <x v="0"/>
    <x v="0"/>
    <s v="NF3023"/>
    <n v="3843"/>
    <x v="6"/>
    <n v="2018"/>
    <x v="5"/>
    <x v="1"/>
    <x v="6"/>
    <x v="1"/>
    <x v="0"/>
  </r>
  <r>
    <d v="2018-04-16T22:53:44"/>
    <d v="2018-01-25T00:00:00"/>
    <d v="2018-01-29T09:00:26"/>
    <x v="0"/>
    <x v="3"/>
    <s v="NF7934"/>
    <n v="1864"/>
    <x v="8"/>
    <n v="2018"/>
    <x v="5"/>
    <x v="1"/>
    <x v="4"/>
    <x v="1"/>
    <x v="0"/>
  </r>
  <r>
    <d v="2018-02-06T19:35:56"/>
    <d v="2018-01-28T00:00:00"/>
    <d v="2018-01-28T00:00:00"/>
    <x v="0"/>
    <x v="1"/>
    <s v="NF7720"/>
    <n v="1184"/>
    <x v="6"/>
    <n v="2018"/>
    <x v="5"/>
    <x v="1"/>
    <x v="4"/>
    <x v="1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0"/>
  </r>
  <r>
    <d v="2018-02-07T02:03:02"/>
    <d v="2018-02-02T00:00:00"/>
    <d v="2018-02-07T02:03:02"/>
    <x v="0"/>
    <x v="4"/>
    <s v="NF4604"/>
    <n v="460"/>
    <x v="6"/>
    <n v="2018"/>
    <x v="6"/>
    <x v="1"/>
    <x v="6"/>
    <x v="1"/>
    <x v="0"/>
  </r>
  <r>
    <s v=""/>
    <d v="2018-02-05T00:00:00"/>
    <d v="2018-03-31T04:13:26"/>
    <x v="0"/>
    <x v="2"/>
    <s v="NF2493"/>
    <n v="964"/>
    <x v="4"/>
    <n v="0"/>
    <x v="6"/>
    <x v="1"/>
    <x v="7"/>
    <x v="1"/>
    <x v="1"/>
  </r>
  <r>
    <d v="2018-02-14T22:35:00"/>
    <d v="2018-02-09T00:00:00"/>
    <d v="2018-02-14T22:35:00"/>
    <x v="0"/>
    <x v="1"/>
    <s v="NF5788"/>
    <n v="3412"/>
    <x v="6"/>
    <n v="2018"/>
    <x v="6"/>
    <x v="1"/>
    <x v="6"/>
    <x v="1"/>
    <x v="0"/>
  </r>
  <r>
    <d v="2018-02-15T05:25:05"/>
    <d v="2018-02-11T00:00:00"/>
    <d v="2018-02-15T05:25:05"/>
    <x v="0"/>
    <x v="0"/>
    <s v="NF9580"/>
    <n v="3095"/>
    <x v="6"/>
    <n v="2018"/>
    <x v="6"/>
    <x v="1"/>
    <x v="6"/>
    <x v="1"/>
    <x v="0"/>
  </r>
  <r>
    <d v="2018-04-03T11:13:40"/>
    <d v="2018-02-17T00:00:00"/>
    <d v="2018-04-03T11:13:40"/>
    <x v="0"/>
    <x v="4"/>
    <s v="NF4061"/>
    <n v="1532"/>
    <x v="8"/>
    <n v="2018"/>
    <x v="6"/>
    <x v="1"/>
    <x v="8"/>
    <x v="1"/>
    <x v="0"/>
  </r>
  <r>
    <d v="2018-04-03T09:49:51"/>
    <d v="2018-02-20T00:00:00"/>
    <d v="2018-04-03T09:49:51"/>
    <x v="0"/>
    <x v="4"/>
    <s v="NF6503"/>
    <n v="3726"/>
    <x v="8"/>
    <n v="2018"/>
    <x v="6"/>
    <x v="1"/>
    <x v="8"/>
    <x v="1"/>
    <x v="0"/>
  </r>
  <r>
    <d v="2018-02-23T00:00:00"/>
    <d v="2018-02-23T00:00:00"/>
    <d v="2018-02-23T00:00:00"/>
    <x v="0"/>
    <x v="1"/>
    <s v="NF6701"/>
    <n v="4322"/>
    <x v="6"/>
    <n v="2018"/>
    <x v="6"/>
    <x v="1"/>
    <x v="6"/>
    <x v="1"/>
    <x v="0"/>
  </r>
  <r>
    <s v=""/>
    <d v="2018-02-25T00:00:00"/>
    <d v="2018-04-15T18:04:54"/>
    <x v="0"/>
    <x v="0"/>
    <s v="NF8891"/>
    <n v="3998"/>
    <x v="4"/>
    <n v="0"/>
    <x v="6"/>
    <x v="1"/>
    <x v="8"/>
    <x v="1"/>
    <x v="1"/>
  </r>
  <r>
    <d v="2018-05-26T14:06:51"/>
    <d v="2018-02-27T00:00:00"/>
    <d v="2018-03-29T19:54:34"/>
    <x v="0"/>
    <x v="0"/>
    <s v="NF2640"/>
    <n v="3252"/>
    <x v="9"/>
    <n v="2018"/>
    <x v="6"/>
    <x v="1"/>
    <x v="7"/>
    <x v="1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0"/>
  </r>
  <r>
    <s v=""/>
    <d v="2018-03-03T00:00:00"/>
    <d v="2018-04-12T19:30:21"/>
    <x v="0"/>
    <x v="2"/>
    <s v="NF7869"/>
    <n v="1977"/>
    <x v="4"/>
    <n v="0"/>
    <x v="7"/>
    <x v="1"/>
    <x v="8"/>
    <x v="1"/>
    <x v="1"/>
  </r>
  <r>
    <d v="2018-07-06T14:44:24"/>
    <d v="2018-03-04T00:00:00"/>
    <d v="2018-04-21T02:43:37"/>
    <x v="0"/>
    <x v="4"/>
    <s v="NF4994"/>
    <n v="1217"/>
    <x v="10"/>
    <n v="2018"/>
    <x v="7"/>
    <x v="1"/>
    <x v="8"/>
    <x v="1"/>
    <x v="0"/>
  </r>
  <r>
    <d v="2018-04-13T04:11:14"/>
    <d v="2018-03-07T00:00:00"/>
    <d v="2018-04-13T04:11:14"/>
    <x v="0"/>
    <x v="3"/>
    <s v="NF5720"/>
    <n v="1660"/>
    <x v="8"/>
    <n v="2018"/>
    <x v="7"/>
    <x v="1"/>
    <x v="8"/>
    <x v="1"/>
    <x v="0"/>
  </r>
  <r>
    <d v="2018-03-10T00:00:00"/>
    <d v="2018-03-10T00:00:00"/>
    <d v="2018-03-10T00:00:00"/>
    <x v="0"/>
    <x v="3"/>
    <s v="NF6393"/>
    <n v="837"/>
    <x v="7"/>
    <n v="2018"/>
    <x v="7"/>
    <x v="1"/>
    <x v="7"/>
    <x v="1"/>
    <x v="0"/>
  </r>
  <r>
    <d v="2018-06-23T22:45:37"/>
    <d v="2018-03-12T00:00:00"/>
    <d v="2018-04-10T03:31:44"/>
    <x v="0"/>
    <x v="1"/>
    <s v="NF9057"/>
    <n v="1838"/>
    <x v="11"/>
    <n v="2018"/>
    <x v="7"/>
    <x v="1"/>
    <x v="8"/>
    <x v="1"/>
    <x v="0"/>
  </r>
  <r>
    <d v="2018-03-17T00:00:00"/>
    <d v="2018-03-17T00:00:00"/>
    <d v="2018-03-17T00:00:00"/>
    <x v="0"/>
    <x v="2"/>
    <s v="NF7365"/>
    <n v="4471"/>
    <x v="7"/>
    <n v="2018"/>
    <x v="7"/>
    <x v="1"/>
    <x v="7"/>
    <x v="1"/>
    <x v="0"/>
  </r>
  <r>
    <d v="2018-03-18T00:00:00"/>
    <d v="2018-03-18T00:00:00"/>
    <d v="2018-03-18T00:00:00"/>
    <x v="0"/>
    <x v="1"/>
    <s v="NF4559"/>
    <n v="3540"/>
    <x v="7"/>
    <n v="2018"/>
    <x v="7"/>
    <x v="1"/>
    <x v="7"/>
    <x v="1"/>
    <x v="0"/>
  </r>
  <r>
    <d v="2018-05-05T10:51:10"/>
    <d v="2018-03-21T00:00:00"/>
    <d v="2018-03-21T00:00:00"/>
    <x v="0"/>
    <x v="1"/>
    <s v="NF7119"/>
    <n v="4606"/>
    <x v="9"/>
    <n v="2018"/>
    <x v="7"/>
    <x v="1"/>
    <x v="7"/>
    <x v="1"/>
    <x v="0"/>
  </r>
  <r>
    <d v="2018-04-09T01:30:48"/>
    <d v="2018-03-23T00:00:00"/>
    <d v="2018-04-09T01:30:48"/>
    <x v="0"/>
    <x v="0"/>
    <s v="NF2814"/>
    <n v="2388"/>
    <x v="8"/>
    <n v="2018"/>
    <x v="7"/>
    <x v="1"/>
    <x v="8"/>
    <x v="1"/>
    <x v="0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0"/>
  </r>
  <r>
    <d v="2018-06-06T06:58:25"/>
    <d v="2018-03-28T00:00:00"/>
    <d v="2018-04-15T06:12:30"/>
    <x v="0"/>
    <x v="2"/>
    <s v="NF3293"/>
    <n v="1662"/>
    <x v="11"/>
    <n v="2018"/>
    <x v="7"/>
    <x v="1"/>
    <x v="8"/>
    <x v="1"/>
    <x v="0"/>
  </r>
  <r>
    <d v="2018-04-24T13:54:11"/>
    <d v="2018-03-30T00:00:00"/>
    <d v="2018-03-30T00:00:00"/>
    <x v="0"/>
    <x v="0"/>
    <s v="NF8254"/>
    <n v="3241"/>
    <x v="8"/>
    <n v="2018"/>
    <x v="7"/>
    <x v="1"/>
    <x v="7"/>
    <x v="1"/>
    <x v="0"/>
  </r>
  <r>
    <d v="2018-07-25T19:48:01"/>
    <d v="2018-03-31T00:00:00"/>
    <d v="2018-05-08T12:38:09"/>
    <x v="0"/>
    <x v="2"/>
    <s v="NF4303"/>
    <n v="4017"/>
    <x v="10"/>
    <n v="2018"/>
    <x v="7"/>
    <x v="1"/>
    <x v="9"/>
    <x v="1"/>
    <x v="0"/>
  </r>
  <r>
    <d v="2018-04-03T00:00:00"/>
    <d v="2018-04-03T00:00:00"/>
    <d v="2018-04-03T00:00:00"/>
    <x v="0"/>
    <x v="1"/>
    <s v="NF2605"/>
    <n v="3586"/>
    <x v="8"/>
    <n v="2018"/>
    <x v="8"/>
    <x v="1"/>
    <x v="8"/>
    <x v="1"/>
    <x v="0"/>
  </r>
  <r>
    <d v="2018-04-06T00:00:00"/>
    <d v="2018-04-06T00:00:00"/>
    <d v="2018-04-06T00:00:00"/>
    <x v="0"/>
    <x v="0"/>
    <s v="NF8043"/>
    <n v="4467"/>
    <x v="8"/>
    <n v="2018"/>
    <x v="8"/>
    <x v="1"/>
    <x v="8"/>
    <x v="1"/>
    <x v="0"/>
  </r>
  <r>
    <d v="2018-05-31T04:06:26"/>
    <d v="2018-04-09T00:00:00"/>
    <d v="2018-05-31T04:06:26"/>
    <x v="0"/>
    <x v="1"/>
    <s v="NF6697"/>
    <n v="4262"/>
    <x v="9"/>
    <n v="2018"/>
    <x v="8"/>
    <x v="1"/>
    <x v="9"/>
    <x v="1"/>
    <x v="0"/>
  </r>
  <r>
    <s v=""/>
    <d v="2018-04-11T00:00:00"/>
    <d v="2018-06-09T12:51:29"/>
    <x v="0"/>
    <x v="1"/>
    <s v="NF5208"/>
    <n v="2593"/>
    <x v="4"/>
    <n v="0"/>
    <x v="8"/>
    <x v="1"/>
    <x v="10"/>
    <x v="1"/>
    <x v="1"/>
  </r>
  <r>
    <d v="2018-05-04T20:26:07"/>
    <d v="2018-04-14T00:00:00"/>
    <d v="2018-05-04T20:26:07"/>
    <x v="0"/>
    <x v="1"/>
    <s v="NF2907"/>
    <n v="1885"/>
    <x v="9"/>
    <n v="2018"/>
    <x v="8"/>
    <x v="1"/>
    <x v="9"/>
    <x v="1"/>
    <x v="0"/>
  </r>
  <r>
    <d v="2018-07-14T16:43:37"/>
    <d v="2018-04-19T00:00:00"/>
    <d v="2018-04-19T00:00:00"/>
    <x v="0"/>
    <x v="1"/>
    <s v="NF9381"/>
    <n v="2224"/>
    <x v="10"/>
    <n v="2018"/>
    <x v="8"/>
    <x v="1"/>
    <x v="8"/>
    <x v="1"/>
    <x v="0"/>
  </r>
  <r>
    <d v="2018-05-14T02:06:20"/>
    <d v="2018-04-23T00:00:00"/>
    <d v="2018-05-14T02:06:20"/>
    <x v="0"/>
    <x v="1"/>
    <s v="NF3247"/>
    <n v="3223"/>
    <x v="9"/>
    <n v="2018"/>
    <x v="8"/>
    <x v="1"/>
    <x v="9"/>
    <x v="1"/>
    <x v="0"/>
  </r>
  <r>
    <d v="2018-04-26T00:00:00"/>
    <d v="2018-04-26T00:00:00"/>
    <d v="2018-04-26T00:00:00"/>
    <x v="0"/>
    <x v="4"/>
    <s v="NF4377"/>
    <n v="3446"/>
    <x v="8"/>
    <n v="2018"/>
    <x v="8"/>
    <x v="1"/>
    <x v="8"/>
    <x v="1"/>
    <x v="0"/>
  </r>
  <r>
    <d v="2018-05-06T23:54:41"/>
    <d v="2018-04-30T00:00:00"/>
    <d v="2018-04-30T00:00:00"/>
    <x v="0"/>
    <x v="1"/>
    <s v="NF2988"/>
    <n v="4540"/>
    <x v="9"/>
    <n v="2018"/>
    <x v="8"/>
    <x v="1"/>
    <x v="8"/>
    <x v="1"/>
    <x v="0"/>
  </r>
  <r>
    <d v="2018-07-02T22:06:22"/>
    <d v="2018-05-08T00:00:00"/>
    <d v="2018-07-02T22:06:22"/>
    <x v="0"/>
    <x v="2"/>
    <s v="NF4912"/>
    <n v="3862"/>
    <x v="10"/>
    <n v="2018"/>
    <x v="9"/>
    <x v="1"/>
    <x v="11"/>
    <x v="1"/>
    <x v="0"/>
  </r>
  <r>
    <d v="2018-07-30T18:31:10"/>
    <d v="2018-05-11T00:00:00"/>
    <d v="2018-06-28T09:08:40"/>
    <x v="0"/>
    <x v="4"/>
    <s v="NF7104"/>
    <n v="611"/>
    <x v="10"/>
    <n v="2018"/>
    <x v="9"/>
    <x v="1"/>
    <x v="10"/>
    <x v="1"/>
    <x v="0"/>
  </r>
  <r>
    <d v="2018-05-13T00:00:00"/>
    <d v="2018-05-13T00:00:00"/>
    <d v="2018-05-13T00:00:00"/>
    <x v="0"/>
    <x v="3"/>
    <s v="NF6700"/>
    <n v="1486"/>
    <x v="9"/>
    <n v="2018"/>
    <x v="9"/>
    <x v="1"/>
    <x v="9"/>
    <x v="1"/>
    <x v="0"/>
  </r>
  <r>
    <d v="2018-06-01T02:54:58"/>
    <d v="2018-05-21T00:00:00"/>
    <d v="2018-06-01T02:54:58"/>
    <x v="0"/>
    <x v="1"/>
    <s v="NF7947"/>
    <n v="4850"/>
    <x v="11"/>
    <n v="2018"/>
    <x v="9"/>
    <x v="1"/>
    <x v="10"/>
    <x v="1"/>
    <x v="0"/>
  </r>
  <r>
    <d v="2018-06-24T10:58:45"/>
    <d v="2018-05-24T00:00:00"/>
    <d v="2018-06-24T10:58:45"/>
    <x v="0"/>
    <x v="3"/>
    <s v="NF7741"/>
    <n v="3878"/>
    <x v="11"/>
    <n v="2018"/>
    <x v="9"/>
    <x v="1"/>
    <x v="10"/>
    <x v="1"/>
    <x v="0"/>
  </r>
  <r>
    <d v="2018-06-24T15:56:07"/>
    <d v="2018-05-29T00:00:00"/>
    <d v="2018-06-24T15:56:07"/>
    <x v="0"/>
    <x v="3"/>
    <s v="NF3255"/>
    <n v="976"/>
    <x v="11"/>
    <n v="2018"/>
    <x v="9"/>
    <x v="1"/>
    <x v="10"/>
    <x v="1"/>
    <x v="0"/>
  </r>
  <r>
    <d v="2018-06-14T09:49:26"/>
    <d v="2018-05-30T00:00:00"/>
    <d v="2018-06-14T09:49:26"/>
    <x v="0"/>
    <x v="2"/>
    <s v="NF7106"/>
    <n v="3346"/>
    <x v="11"/>
    <n v="2018"/>
    <x v="9"/>
    <x v="1"/>
    <x v="10"/>
    <x v="1"/>
    <x v="0"/>
  </r>
  <r>
    <d v="2018-08-28T04:31:39"/>
    <d v="2018-06-03T00:00:00"/>
    <d v="2018-08-01T18:40:48"/>
    <x v="0"/>
    <x v="4"/>
    <s v="NF1835"/>
    <n v="443"/>
    <x v="12"/>
    <n v="2018"/>
    <x v="10"/>
    <x v="1"/>
    <x v="0"/>
    <x v="1"/>
    <x v="0"/>
  </r>
  <r>
    <d v="2018-06-04T00:00:00"/>
    <d v="2018-06-04T00:00:00"/>
    <d v="2018-06-04T00:00:00"/>
    <x v="0"/>
    <x v="4"/>
    <s v="NF7322"/>
    <n v="2781"/>
    <x v="11"/>
    <n v="2018"/>
    <x v="10"/>
    <x v="1"/>
    <x v="10"/>
    <x v="1"/>
    <x v="0"/>
  </r>
  <r>
    <d v="2018-06-16T15:21:18"/>
    <d v="2018-06-05T00:00:00"/>
    <d v="2018-06-16T15:21:18"/>
    <x v="0"/>
    <x v="3"/>
    <s v="NF3899"/>
    <n v="1875"/>
    <x v="11"/>
    <n v="2018"/>
    <x v="10"/>
    <x v="1"/>
    <x v="10"/>
    <x v="1"/>
    <x v="0"/>
  </r>
  <r>
    <d v="2018-06-08T00:00:00"/>
    <d v="2018-06-08T00:00:00"/>
    <d v="2018-06-08T00:00:00"/>
    <x v="0"/>
    <x v="1"/>
    <s v="NF5496"/>
    <n v="3134"/>
    <x v="11"/>
    <n v="2018"/>
    <x v="10"/>
    <x v="1"/>
    <x v="10"/>
    <x v="1"/>
    <x v="0"/>
  </r>
  <r>
    <d v="2018-06-25T12:16:33"/>
    <d v="2018-06-10T00:00:00"/>
    <d v="2018-06-25T12:16:33"/>
    <x v="0"/>
    <x v="0"/>
    <s v="NF4824"/>
    <n v="2114"/>
    <x v="11"/>
    <n v="2018"/>
    <x v="10"/>
    <x v="1"/>
    <x v="10"/>
    <x v="1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0"/>
  </r>
  <r>
    <d v="2018-07-22T08:03:46"/>
    <d v="2018-06-14T00:00:00"/>
    <d v="2018-07-22T08:03:46"/>
    <x v="0"/>
    <x v="1"/>
    <s v="NF8075"/>
    <n v="909"/>
    <x v="10"/>
    <n v="2018"/>
    <x v="10"/>
    <x v="1"/>
    <x v="11"/>
    <x v="1"/>
    <x v="0"/>
  </r>
  <r>
    <d v="2018-07-12T09:15:11"/>
    <d v="2018-06-15T00:00:00"/>
    <d v="2018-07-12T09:15:11"/>
    <x v="0"/>
    <x v="1"/>
    <s v="NF1137"/>
    <n v="2197"/>
    <x v="10"/>
    <n v="2018"/>
    <x v="10"/>
    <x v="1"/>
    <x v="11"/>
    <x v="1"/>
    <x v="0"/>
  </r>
  <r>
    <d v="2018-06-17T00:00:00"/>
    <d v="2018-06-17T00:00:00"/>
    <d v="2018-06-17T00:00:00"/>
    <x v="0"/>
    <x v="2"/>
    <s v="NF3353"/>
    <n v="3045"/>
    <x v="11"/>
    <n v="2018"/>
    <x v="10"/>
    <x v="1"/>
    <x v="10"/>
    <x v="1"/>
    <x v="0"/>
  </r>
  <r>
    <d v="2018-08-14T08:59:17"/>
    <d v="2018-06-21T00:00:00"/>
    <d v="2018-07-28T09:26:34"/>
    <x v="0"/>
    <x v="2"/>
    <s v="NF5074"/>
    <n v="460"/>
    <x v="12"/>
    <n v="2018"/>
    <x v="10"/>
    <x v="1"/>
    <x v="11"/>
    <x v="1"/>
    <x v="0"/>
  </r>
  <r>
    <d v="2018-08-01T15:18:17"/>
    <d v="2018-06-24T00:00:00"/>
    <d v="2018-08-01T15:18:17"/>
    <x v="0"/>
    <x v="2"/>
    <s v="NF1725"/>
    <n v="770"/>
    <x v="12"/>
    <n v="2018"/>
    <x v="10"/>
    <x v="1"/>
    <x v="0"/>
    <x v="1"/>
    <x v="0"/>
  </r>
  <r>
    <d v="2018-08-05T17:42:47"/>
    <d v="2018-06-25T00:00:00"/>
    <d v="2018-08-05T17:42:47"/>
    <x v="0"/>
    <x v="1"/>
    <s v="NF5560"/>
    <n v="3646"/>
    <x v="12"/>
    <n v="2018"/>
    <x v="10"/>
    <x v="1"/>
    <x v="0"/>
    <x v="1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0"/>
  </r>
  <r>
    <d v="2018-10-25T17:52:01"/>
    <d v="2018-07-03T00:00:00"/>
    <d v="2018-07-29T08:42:05"/>
    <x v="0"/>
    <x v="1"/>
    <s v="NF2175"/>
    <n v="3940"/>
    <x v="1"/>
    <n v="2018"/>
    <x v="11"/>
    <x v="1"/>
    <x v="11"/>
    <x v="1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0"/>
  </r>
  <r>
    <d v="2018-08-11T15:48:56"/>
    <d v="2018-07-11T00:00:00"/>
    <d v="2018-08-11T15:48:56"/>
    <x v="0"/>
    <x v="2"/>
    <s v="NF9391"/>
    <n v="4090"/>
    <x v="12"/>
    <n v="2018"/>
    <x v="11"/>
    <x v="1"/>
    <x v="0"/>
    <x v="1"/>
    <x v="0"/>
  </r>
  <r>
    <d v="2018-07-30T01:14:31"/>
    <d v="2018-07-12T00:00:00"/>
    <d v="2018-07-30T01:14:31"/>
    <x v="0"/>
    <x v="3"/>
    <s v="NF6298"/>
    <n v="2713"/>
    <x v="10"/>
    <n v="2018"/>
    <x v="11"/>
    <x v="1"/>
    <x v="11"/>
    <x v="1"/>
    <x v="0"/>
  </r>
  <r>
    <d v="2018-07-21T16:06:50"/>
    <d v="2018-07-16T00:00:00"/>
    <d v="2018-07-21T16:06:50"/>
    <x v="0"/>
    <x v="1"/>
    <s v="NF7941"/>
    <n v="3482"/>
    <x v="10"/>
    <n v="2018"/>
    <x v="11"/>
    <x v="1"/>
    <x v="11"/>
    <x v="1"/>
    <x v="0"/>
  </r>
  <r>
    <s v=""/>
    <d v="2018-07-18T00:00:00"/>
    <d v="2018-09-03T07:30:56"/>
    <x v="0"/>
    <x v="1"/>
    <s v="NF3604"/>
    <n v="2071"/>
    <x v="4"/>
    <n v="0"/>
    <x v="11"/>
    <x v="1"/>
    <x v="1"/>
    <x v="1"/>
    <x v="1"/>
  </r>
  <r>
    <s v=""/>
    <d v="2018-07-23T00:00:00"/>
    <d v="2018-07-23T00:00:00"/>
    <x v="0"/>
    <x v="2"/>
    <s v="NF4605"/>
    <n v="4258"/>
    <x v="4"/>
    <n v="0"/>
    <x v="11"/>
    <x v="1"/>
    <x v="11"/>
    <x v="1"/>
    <x v="1"/>
  </r>
  <r>
    <d v="2018-09-07T04:16:41"/>
    <d v="2018-07-25T00:00:00"/>
    <d v="2018-09-07T04:16:41"/>
    <x v="0"/>
    <x v="0"/>
    <s v="NF1759"/>
    <n v="4383"/>
    <x v="0"/>
    <n v="2018"/>
    <x v="11"/>
    <x v="1"/>
    <x v="1"/>
    <x v="1"/>
    <x v="0"/>
  </r>
  <r>
    <s v=""/>
    <d v="2018-07-29T00:00:00"/>
    <d v="2018-07-29T00:00:00"/>
    <x v="0"/>
    <x v="1"/>
    <s v="NF2800"/>
    <n v="1369"/>
    <x v="4"/>
    <n v="0"/>
    <x v="11"/>
    <x v="1"/>
    <x v="11"/>
    <x v="1"/>
    <x v="1"/>
  </r>
  <r>
    <d v="2018-11-05T20:14:58"/>
    <d v="2018-08-03T00:00:00"/>
    <d v="2018-09-14T13:40:35"/>
    <x v="0"/>
    <x v="1"/>
    <s v="NF7248"/>
    <n v="331"/>
    <x v="2"/>
    <n v="2018"/>
    <x v="0"/>
    <x v="1"/>
    <x v="1"/>
    <x v="1"/>
    <x v="0"/>
  </r>
  <r>
    <d v="2018-09-25T21:33:15"/>
    <d v="2018-08-06T00:00:00"/>
    <d v="2018-08-06T00:00:00"/>
    <x v="0"/>
    <x v="1"/>
    <s v="NF5280"/>
    <n v="3031"/>
    <x v="0"/>
    <n v="2018"/>
    <x v="0"/>
    <x v="1"/>
    <x v="0"/>
    <x v="1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0"/>
  </r>
  <r>
    <d v="2018-08-11T00:00:00"/>
    <d v="2018-08-11T00:00:00"/>
    <d v="2018-08-11T00:00:00"/>
    <x v="0"/>
    <x v="0"/>
    <s v="NF4862"/>
    <n v="405"/>
    <x v="12"/>
    <n v="2018"/>
    <x v="0"/>
    <x v="1"/>
    <x v="0"/>
    <x v="1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x v="1"/>
    <x v="0"/>
  </r>
  <r>
    <d v="2018-08-17T00:00:00"/>
    <d v="2018-08-17T00:00:00"/>
    <d v="2018-08-17T00:00:00"/>
    <x v="0"/>
    <x v="1"/>
    <s v="NF6224"/>
    <n v="2137"/>
    <x v="12"/>
    <n v="2018"/>
    <x v="0"/>
    <x v="1"/>
    <x v="0"/>
    <x v="1"/>
    <x v="0"/>
  </r>
  <r>
    <d v="2018-08-24T00:00:00"/>
    <d v="2018-08-24T00:00:00"/>
    <d v="2018-08-24T00:00:00"/>
    <x v="0"/>
    <x v="2"/>
    <s v="NF6974"/>
    <n v="4287"/>
    <x v="12"/>
    <n v="2018"/>
    <x v="0"/>
    <x v="1"/>
    <x v="0"/>
    <x v="1"/>
    <x v="0"/>
  </r>
  <r>
    <d v="2019-01-10T07:43:55"/>
    <d v="2018-08-26T00:00:00"/>
    <d v="2018-10-22T21:34:17"/>
    <x v="0"/>
    <x v="2"/>
    <s v="NF3171"/>
    <n v="4857"/>
    <x v="5"/>
    <n v="2019"/>
    <x v="0"/>
    <x v="1"/>
    <x v="2"/>
    <x v="1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0"/>
  </r>
  <r>
    <d v="2018-11-01T13:56:57"/>
    <d v="2018-08-31T00:00:00"/>
    <d v="2018-09-11T09:18:13"/>
    <x v="0"/>
    <x v="0"/>
    <s v="NF9607"/>
    <n v="2467"/>
    <x v="2"/>
    <n v="2018"/>
    <x v="0"/>
    <x v="1"/>
    <x v="1"/>
    <x v="1"/>
    <x v="0"/>
  </r>
  <r>
    <d v="2018-09-27T15:55:52"/>
    <d v="2018-09-01T00:00:00"/>
    <d v="2018-09-27T15:55:52"/>
    <x v="0"/>
    <x v="1"/>
    <s v="NF6643"/>
    <n v="4253"/>
    <x v="0"/>
    <n v="2018"/>
    <x v="1"/>
    <x v="1"/>
    <x v="1"/>
    <x v="1"/>
    <x v="0"/>
  </r>
  <r>
    <d v="2018-09-07T00:00:00"/>
    <d v="2018-09-07T00:00:00"/>
    <d v="2018-09-07T00:00:00"/>
    <x v="0"/>
    <x v="2"/>
    <s v="NF3939"/>
    <n v="2391"/>
    <x v="0"/>
    <n v="2018"/>
    <x v="1"/>
    <x v="1"/>
    <x v="1"/>
    <x v="1"/>
    <x v="0"/>
  </r>
  <r>
    <d v="2018-09-22T19:10:46"/>
    <d v="2018-09-09T00:00:00"/>
    <d v="2018-09-22T19:10:46"/>
    <x v="0"/>
    <x v="1"/>
    <s v="NF3599"/>
    <n v="3669"/>
    <x v="0"/>
    <n v="2018"/>
    <x v="1"/>
    <x v="1"/>
    <x v="1"/>
    <x v="1"/>
    <x v="0"/>
  </r>
  <r>
    <d v="2018-10-10T05:32:48"/>
    <d v="2018-09-12T00:00:00"/>
    <d v="2018-10-10T05:32:48"/>
    <x v="0"/>
    <x v="1"/>
    <s v="NF9914"/>
    <n v="1207"/>
    <x v="1"/>
    <n v="2018"/>
    <x v="1"/>
    <x v="1"/>
    <x v="2"/>
    <x v="1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0"/>
  </r>
  <r>
    <d v="2018-11-18T18:58:19"/>
    <d v="2018-09-21T00:00:00"/>
    <d v="2018-09-21T00:00:00"/>
    <x v="0"/>
    <x v="1"/>
    <s v="NF8652"/>
    <n v="2106"/>
    <x v="2"/>
    <n v="2018"/>
    <x v="1"/>
    <x v="1"/>
    <x v="1"/>
    <x v="1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0"/>
  </r>
  <r>
    <d v="2018-09-26T00:00:00"/>
    <d v="2018-09-26T00:00:00"/>
    <d v="2018-09-26T00:00:00"/>
    <x v="0"/>
    <x v="0"/>
    <s v="NF5491"/>
    <n v="3222"/>
    <x v="0"/>
    <n v="2018"/>
    <x v="1"/>
    <x v="1"/>
    <x v="1"/>
    <x v="1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0"/>
  </r>
  <r>
    <d v="2018-10-26T19:35:25"/>
    <d v="2018-10-05T00:00:00"/>
    <d v="2018-10-26T19:35:25"/>
    <x v="0"/>
    <x v="3"/>
    <s v="NF3137"/>
    <n v="4922"/>
    <x v="1"/>
    <n v="2018"/>
    <x v="2"/>
    <x v="1"/>
    <x v="2"/>
    <x v="1"/>
    <x v="0"/>
  </r>
  <r>
    <d v="2018-11-28T21:26:54"/>
    <d v="2018-10-09T00:00:00"/>
    <d v="2018-11-28T21:26:54"/>
    <x v="0"/>
    <x v="2"/>
    <s v="NF2705"/>
    <n v="1688"/>
    <x v="2"/>
    <n v="2018"/>
    <x v="2"/>
    <x v="1"/>
    <x v="3"/>
    <x v="1"/>
    <x v="0"/>
  </r>
  <r>
    <d v="2018-10-09T00:00:00"/>
    <d v="2018-10-09T00:00:00"/>
    <d v="2018-10-09T00:00:00"/>
    <x v="0"/>
    <x v="2"/>
    <s v="NF9537"/>
    <n v="979"/>
    <x v="1"/>
    <n v="2018"/>
    <x v="2"/>
    <x v="1"/>
    <x v="2"/>
    <x v="1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0"/>
  </r>
  <r>
    <s v=""/>
    <d v="2018-10-16T00:00:00"/>
    <d v="2018-12-04T03:16:57"/>
    <x v="0"/>
    <x v="2"/>
    <s v="NF9052"/>
    <n v="4061"/>
    <x v="4"/>
    <n v="0"/>
    <x v="2"/>
    <x v="1"/>
    <x v="5"/>
    <x v="1"/>
    <x v="1"/>
  </r>
  <r>
    <d v="2018-12-01T19:29:45"/>
    <d v="2018-10-21T00:00:00"/>
    <d v="2018-12-01T19:29:45"/>
    <x v="0"/>
    <x v="0"/>
    <s v="NF9827"/>
    <n v="4404"/>
    <x v="3"/>
    <n v="2018"/>
    <x v="2"/>
    <x v="1"/>
    <x v="5"/>
    <x v="1"/>
    <x v="0"/>
  </r>
  <r>
    <d v="2018-11-20T17:24:52"/>
    <d v="2018-10-25T00:00:00"/>
    <d v="2018-11-15T14:37:18"/>
    <x v="0"/>
    <x v="1"/>
    <s v="NF4056"/>
    <n v="2429"/>
    <x v="2"/>
    <n v="2018"/>
    <x v="2"/>
    <x v="1"/>
    <x v="3"/>
    <x v="1"/>
    <x v="0"/>
  </r>
  <r>
    <d v="2018-10-25T00:00:00"/>
    <d v="2018-10-25T00:00:00"/>
    <d v="2018-10-25T00:00:00"/>
    <x v="0"/>
    <x v="0"/>
    <s v="NF4381"/>
    <n v="2713"/>
    <x v="1"/>
    <n v="2018"/>
    <x v="2"/>
    <x v="1"/>
    <x v="2"/>
    <x v="1"/>
    <x v="0"/>
  </r>
  <r>
    <s v=""/>
    <d v="2018-10-30T00:00:00"/>
    <d v="2018-10-30T00:00:00"/>
    <x v="0"/>
    <x v="1"/>
    <s v="NF5374"/>
    <n v="3787"/>
    <x v="4"/>
    <n v="0"/>
    <x v="2"/>
    <x v="1"/>
    <x v="2"/>
    <x v="1"/>
    <x v="1"/>
  </r>
  <r>
    <d v="2018-12-08T21:36:08"/>
    <d v="2018-11-04T00:00:00"/>
    <d v="2018-12-08T21:36:08"/>
    <x v="0"/>
    <x v="4"/>
    <s v="NF4782"/>
    <n v="1820"/>
    <x v="3"/>
    <n v="2018"/>
    <x v="3"/>
    <x v="1"/>
    <x v="5"/>
    <x v="1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0"/>
  </r>
  <r>
    <d v="2018-11-17T02:12:26"/>
    <d v="2018-11-11T00:00:00"/>
    <d v="2018-11-17T02:12:26"/>
    <x v="0"/>
    <x v="1"/>
    <s v="NF3186"/>
    <n v="3902"/>
    <x v="2"/>
    <n v="2018"/>
    <x v="3"/>
    <x v="1"/>
    <x v="3"/>
    <x v="1"/>
    <x v="0"/>
  </r>
  <r>
    <d v="2018-11-14T00:00:00"/>
    <d v="2018-11-14T00:00:00"/>
    <d v="2018-11-14T00:00:00"/>
    <x v="0"/>
    <x v="1"/>
    <s v="NF7423"/>
    <n v="4319"/>
    <x v="2"/>
    <n v="2018"/>
    <x v="3"/>
    <x v="1"/>
    <x v="3"/>
    <x v="1"/>
    <x v="0"/>
  </r>
  <r>
    <d v="2019-03-13T13:18:39"/>
    <d v="2018-11-17T00:00:00"/>
    <d v="2018-12-30T17:57:50"/>
    <x v="0"/>
    <x v="0"/>
    <s v="NF3114"/>
    <n v="3068"/>
    <x v="7"/>
    <n v="2019"/>
    <x v="3"/>
    <x v="1"/>
    <x v="5"/>
    <x v="1"/>
    <x v="0"/>
  </r>
  <r>
    <d v="2018-11-21T00:00:00"/>
    <d v="2018-11-21T00:00:00"/>
    <d v="2018-11-21T00:00:00"/>
    <x v="0"/>
    <x v="1"/>
    <s v="NF1359"/>
    <n v="1880"/>
    <x v="2"/>
    <n v="2018"/>
    <x v="3"/>
    <x v="1"/>
    <x v="3"/>
    <x v="1"/>
    <x v="0"/>
  </r>
  <r>
    <d v="2018-12-31T01:31:16"/>
    <d v="2018-11-23T00:00:00"/>
    <d v="2018-12-31T01:31:16"/>
    <x v="0"/>
    <x v="1"/>
    <s v="NF5107"/>
    <n v="1414"/>
    <x v="3"/>
    <n v="2018"/>
    <x v="3"/>
    <x v="1"/>
    <x v="5"/>
    <x v="1"/>
    <x v="0"/>
  </r>
  <r>
    <d v="2018-12-23T12:11:02"/>
    <d v="2018-11-26T00:00:00"/>
    <d v="2018-12-13T21:21:29"/>
    <x v="0"/>
    <x v="3"/>
    <s v="NF4367"/>
    <n v="919"/>
    <x v="3"/>
    <n v="2018"/>
    <x v="3"/>
    <x v="1"/>
    <x v="5"/>
    <x v="1"/>
    <x v="0"/>
  </r>
  <r>
    <d v="2018-11-27T00:00:00"/>
    <d v="2018-11-27T00:00:00"/>
    <d v="2018-11-27T00:00:00"/>
    <x v="0"/>
    <x v="1"/>
    <s v="NF8386"/>
    <n v="4801"/>
    <x v="2"/>
    <n v="2018"/>
    <x v="3"/>
    <x v="1"/>
    <x v="3"/>
    <x v="1"/>
    <x v="0"/>
  </r>
  <r>
    <d v="2018-11-30T00:00:00"/>
    <d v="2018-11-30T00:00:00"/>
    <d v="2018-11-30T00:00:00"/>
    <x v="0"/>
    <x v="2"/>
    <s v="NF5922"/>
    <n v="4639"/>
    <x v="2"/>
    <n v="2018"/>
    <x v="3"/>
    <x v="1"/>
    <x v="3"/>
    <x v="1"/>
    <x v="0"/>
  </r>
  <r>
    <s v=""/>
    <d v="2018-12-06T00:00:00"/>
    <d v="2019-01-22T09:22:29"/>
    <x v="0"/>
    <x v="1"/>
    <s v="NF9970"/>
    <n v="1209"/>
    <x v="4"/>
    <n v="0"/>
    <x v="4"/>
    <x v="1"/>
    <x v="4"/>
    <x v="2"/>
    <x v="1"/>
  </r>
  <r>
    <d v="2019-04-05T19:52:04"/>
    <d v="2018-12-10T00:00:00"/>
    <d v="2019-01-12T04:05:06"/>
    <x v="0"/>
    <x v="2"/>
    <s v="NF1938"/>
    <n v="483"/>
    <x v="8"/>
    <n v="2019"/>
    <x v="4"/>
    <x v="1"/>
    <x v="4"/>
    <x v="2"/>
    <x v="0"/>
  </r>
  <r>
    <d v="2019-02-07T02:51:22"/>
    <d v="2018-12-17T00:00:00"/>
    <d v="2019-01-04T09:42:41"/>
    <x v="0"/>
    <x v="1"/>
    <s v="NF7772"/>
    <n v="373"/>
    <x v="6"/>
    <n v="2019"/>
    <x v="4"/>
    <x v="1"/>
    <x v="4"/>
    <x v="2"/>
    <x v="0"/>
  </r>
  <r>
    <d v="2018-12-25T16:39:40"/>
    <d v="2018-12-20T00:00:00"/>
    <d v="2018-12-25T16:39:40"/>
    <x v="0"/>
    <x v="0"/>
    <s v="NF9932"/>
    <n v="2088"/>
    <x v="3"/>
    <n v="2018"/>
    <x v="4"/>
    <x v="1"/>
    <x v="5"/>
    <x v="1"/>
    <x v="0"/>
  </r>
  <r>
    <d v="2019-02-01T19:36:46"/>
    <d v="2018-12-21T00:00:00"/>
    <d v="2019-02-01T19:36:46"/>
    <x v="0"/>
    <x v="2"/>
    <s v="NF2970"/>
    <n v="1168"/>
    <x v="6"/>
    <n v="2019"/>
    <x v="4"/>
    <x v="1"/>
    <x v="6"/>
    <x v="2"/>
    <x v="0"/>
  </r>
  <r>
    <d v="2018-12-23T00:00:00"/>
    <d v="2018-12-23T00:00:00"/>
    <d v="2018-12-23T00:00:00"/>
    <x v="0"/>
    <x v="2"/>
    <s v="NF4423"/>
    <n v="4429"/>
    <x v="3"/>
    <n v="2018"/>
    <x v="4"/>
    <x v="1"/>
    <x v="5"/>
    <x v="1"/>
    <x v="0"/>
  </r>
  <r>
    <d v="2019-02-23T16:37:34"/>
    <d v="2018-12-28T00:00:00"/>
    <d v="2019-02-23T16:37:34"/>
    <x v="0"/>
    <x v="1"/>
    <s v="NF9682"/>
    <n v="4955"/>
    <x v="6"/>
    <n v="2019"/>
    <x v="4"/>
    <x v="1"/>
    <x v="6"/>
    <x v="2"/>
    <x v="0"/>
  </r>
  <r>
    <d v="2019-01-18T04:10:19"/>
    <d v="2018-12-31T00:00:00"/>
    <d v="2019-01-18T02:10:28"/>
    <x v="0"/>
    <x v="1"/>
    <s v="NF7840"/>
    <n v="3201"/>
    <x v="5"/>
    <n v="2019"/>
    <x v="4"/>
    <x v="1"/>
    <x v="4"/>
    <x v="2"/>
    <x v="0"/>
  </r>
  <r>
    <d v="2019-02-15T16:37:04"/>
    <d v="2019-01-04T00:00:00"/>
    <d v="2019-02-15T16:37:04"/>
    <x v="0"/>
    <x v="4"/>
    <s v="NF4946"/>
    <n v="3007"/>
    <x v="6"/>
    <n v="2019"/>
    <x v="5"/>
    <x v="2"/>
    <x v="6"/>
    <x v="2"/>
    <x v="0"/>
  </r>
  <r>
    <d v="2019-01-08T00:00:00"/>
    <d v="2019-01-08T00:00:00"/>
    <d v="2019-01-08T00:00:00"/>
    <x v="0"/>
    <x v="2"/>
    <s v="NF6806"/>
    <n v="900"/>
    <x v="5"/>
    <n v="2019"/>
    <x v="5"/>
    <x v="2"/>
    <x v="4"/>
    <x v="2"/>
    <x v="0"/>
  </r>
  <r>
    <d v="2019-01-13T00:00:00"/>
    <d v="2019-01-13T00:00:00"/>
    <d v="2019-01-13T00:00:00"/>
    <x v="0"/>
    <x v="1"/>
    <s v="NF3882"/>
    <n v="2970"/>
    <x v="5"/>
    <n v="2019"/>
    <x v="5"/>
    <x v="2"/>
    <x v="4"/>
    <x v="2"/>
    <x v="0"/>
  </r>
  <r>
    <d v="2019-03-14T13:02:36"/>
    <d v="2019-01-17T00:00:00"/>
    <d v="2019-03-14T13:02:36"/>
    <x v="0"/>
    <x v="3"/>
    <s v="NF1850"/>
    <n v="4993"/>
    <x v="7"/>
    <n v="2019"/>
    <x v="5"/>
    <x v="2"/>
    <x v="7"/>
    <x v="2"/>
    <x v="0"/>
  </r>
  <r>
    <d v="2019-01-20T22:55:55"/>
    <d v="2019-01-20T00:00:00"/>
    <d v="2019-01-20T22:55:55"/>
    <x v="0"/>
    <x v="2"/>
    <s v="NF7979"/>
    <n v="1664"/>
    <x v="5"/>
    <n v="2019"/>
    <x v="5"/>
    <x v="2"/>
    <x v="4"/>
    <x v="2"/>
    <x v="0"/>
  </r>
  <r>
    <s v=""/>
    <d v="2019-01-21T00:00:00"/>
    <d v="2019-02-26T14:45:57"/>
    <x v="0"/>
    <x v="1"/>
    <s v="NF1547"/>
    <n v="1815"/>
    <x v="4"/>
    <n v="0"/>
    <x v="5"/>
    <x v="2"/>
    <x v="6"/>
    <x v="2"/>
    <x v="1"/>
  </r>
  <r>
    <d v="2019-02-09T01:03:10"/>
    <d v="2019-01-23T00:00:00"/>
    <d v="2019-02-09T01:03:10"/>
    <x v="0"/>
    <x v="4"/>
    <s v="NF2309"/>
    <n v="3752"/>
    <x v="6"/>
    <n v="2019"/>
    <x v="5"/>
    <x v="2"/>
    <x v="6"/>
    <x v="2"/>
    <x v="0"/>
  </r>
  <r>
    <s v=""/>
    <d v="2019-01-27T00:00:00"/>
    <d v="2019-02-17T10:09:23"/>
    <x v="0"/>
    <x v="1"/>
    <s v="NF5791"/>
    <n v="177"/>
    <x v="4"/>
    <n v="0"/>
    <x v="5"/>
    <x v="2"/>
    <x v="6"/>
    <x v="2"/>
    <x v="1"/>
  </r>
  <r>
    <d v="2019-01-29T00:00:00"/>
    <d v="2019-01-29T00:00:00"/>
    <d v="2019-01-29T00:00:00"/>
    <x v="0"/>
    <x v="1"/>
    <s v="NF2982"/>
    <n v="3619"/>
    <x v="5"/>
    <n v="2019"/>
    <x v="5"/>
    <x v="2"/>
    <x v="4"/>
    <x v="2"/>
    <x v="0"/>
  </r>
  <r>
    <d v="2019-03-11T08:00:37"/>
    <d v="2019-02-02T00:00:00"/>
    <d v="2019-03-10T23:45:15"/>
    <x v="0"/>
    <x v="4"/>
    <s v="NF1796"/>
    <n v="4030"/>
    <x v="7"/>
    <n v="2019"/>
    <x v="6"/>
    <x v="2"/>
    <x v="7"/>
    <x v="2"/>
    <x v="0"/>
  </r>
  <r>
    <d v="2019-02-16T21:15:54"/>
    <d v="2019-02-05T00:00:00"/>
    <d v="2019-02-16T21:15:54"/>
    <x v="0"/>
    <x v="4"/>
    <s v="NF2396"/>
    <n v="4157"/>
    <x v="6"/>
    <n v="2019"/>
    <x v="6"/>
    <x v="2"/>
    <x v="6"/>
    <x v="2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0"/>
  </r>
  <r>
    <d v="2019-03-25T14:21:53"/>
    <d v="2019-02-12T00:00:00"/>
    <d v="2019-02-12T00:00:00"/>
    <x v="0"/>
    <x v="1"/>
    <s v="NF4647"/>
    <n v="3732"/>
    <x v="7"/>
    <n v="2019"/>
    <x v="6"/>
    <x v="2"/>
    <x v="6"/>
    <x v="2"/>
    <x v="0"/>
  </r>
  <r>
    <d v="2019-02-13T00:00:00"/>
    <d v="2019-02-13T00:00:00"/>
    <d v="2019-02-13T00:00:00"/>
    <x v="0"/>
    <x v="2"/>
    <s v="NF9056"/>
    <n v="2024"/>
    <x v="6"/>
    <n v="2019"/>
    <x v="6"/>
    <x v="2"/>
    <x v="6"/>
    <x v="2"/>
    <x v="0"/>
  </r>
  <r>
    <d v="2019-02-16T00:00:00"/>
    <d v="2019-02-16T00:00:00"/>
    <d v="2019-02-16T00:00:00"/>
    <x v="0"/>
    <x v="1"/>
    <s v="NF4097"/>
    <n v="928"/>
    <x v="6"/>
    <n v="2019"/>
    <x v="6"/>
    <x v="2"/>
    <x v="6"/>
    <x v="2"/>
    <x v="0"/>
  </r>
  <r>
    <d v="2019-03-09T04:27:45"/>
    <d v="2019-02-17T00:00:00"/>
    <d v="2019-02-17T00:00:00"/>
    <x v="0"/>
    <x v="1"/>
    <s v="NF9792"/>
    <n v="3557"/>
    <x v="7"/>
    <n v="2019"/>
    <x v="6"/>
    <x v="2"/>
    <x v="6"/>
    <x v="2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0"/>
  </r>
  <r>
    <d v="2019-02-26T00:00:00"/>
    <d v="2019-02-26T00:00:00"/>
    <d v="2019-02-26T00:00:00"/>
    <x v="0"/>
    <x v="1"/>
    <s v="NF8881"/>
    <n v="4741"/>
    <x v="6"/>
    <n v="2019"/>
    <x v="6"/>
    <x v="2"/>
    <x v="6"/>
    <x v="2"/>
    <x v="0"/>
  </r>
  <r>
    <d v="2019-03-01T00:00:00"/>
    <d v="2019-03-01T00:00:00"/>
    <d v="2019-03-01T00:00:00"/>
    <x v="0"/>
    <x v="0"/>
    <s v="NF3500"/>
    <n v="471"/>
    <x v="7"/>
    <n v="2019"/>
    <x v="7"/>
    <x v="2"/>
    <x v="7"/>
    <x v="2"/>
    <x v="0"/>
  </r>
  <r>
    <d v="2019-03-03T00:00:00"/>
    <d v="2019-03-03T00:00:00"/>
    <d v="2019-03-03T00:00:00"/>
    <x v="0"/>
    <x v="0"/>
    <s v="NF3489"/>
    <n v="517"/>
    <x v="7"/>
    <n v="2019"/>
    <x v="7"/>
    <x v="2"/>
    <x v="7"/>
    <x v="2"/>
    <x v="0"/>
  </r>
  <r>
    <d v="2019-04-08T05:18:52"/>
    <d v="2019-03-10T00:00:00"/>
    <d v="2019-04-08T05:18:52"/>
    <x v="0"/>
    <x v="0"/>
    <s v="NF8682"/>
    <n v="3034"/>
    <x v="8"/>
    <n v="2019"/>
    <x v="7"/>
    <x v="2"/>
    <x v="8"/>
    <x v="2"/>
    <x v="0"/>
  </r>
  <r>
    <d v="2019-04-23T13:50:46"/>
    <d v="2019-03-13T00:00:00"/>
    <d v="2019-04-23T13:50:46"/>
    <x v="0"/>
    <x v="1"/>
    <s v="NF8525"/>
    <n v="3172"/>
    <x v="8"/>
    <n v="2019"/>
    <x v="7"/>
    <x v="2"/>
    <x v="8"/>
    <x v="2"/>
    <x v="0"/>
  </r>
  <r>
    <d v="2019-03-19T00:00:00"/>
    <d v="2019-03-19T00:00:00"/>
    <d v="2019-03-19T00:00:00"/>
    <x v="0"/>
    <x v="4"/>
    <s v="NF2006"/>
    <n v="2069"/>
    <x v="7"/>
    <n v="2019"/>
    <x v="7"/>
    <x v="2"/>
    <x v="7"/>
    <x v="2"/>
    <x v="0"/>
  </r>
  <r>
    <d v="2019-03-21T00:00:00"/>
    <d v="2019-03-21T00:00:00"/>
    <d v="2019-03-21T00:00:00"/>
    <x v="0"/>
    <x v="4"/>
    <s v="NF7648"/>
    <n v="3849"/>
    <x v="7"/>
    <n v="2019"/>
    <x v="7"/>
    <x v="2"/>
    <x v="7"/>
    <x v="2"/>
    <x v="0"/>
  </r>
  <r>
    <s v=""/>
    <d v="2019-03-27T00:00:00"/>
    <d v="2019-05-01T01:07:37"/>
    <x v="0"/>
    <x v="2"/>
    <s v="NF6770"/>
    <n v="4141"/>
    <x v="4"/>
    <n v="0"/>
    <x v="7"/>
    <x v="2"/>
    <x v="9"/>
    <x v="2"/>
    <x v="1"/>
  </r>
  <r>
    <d v="2019-06-27T20:37:49"/>
    <d v="2019-03-28T00:00:00"/>
    <d v="2019-05-01T21:23:18"/>
    <x v="0"/>
    <x v="2"/>
    <s v="NF2352"/>
    <n v="1348"/>
    <x v="11"/>
    <n v="2019"/>
    <x v="7"/>
    <x v="2"/>
    <x v="9"/>
    <x v="2"/>
    <x v="0"/>
  </r>
  <r>
    <d v="2019-04-03T00:00:00"/>
    <d v="2019-04-03T00:00:00"/>
    <d v="2019-04-03T00:00:00"/>
    <x v="0"/>
    <x v="1"/>
    <s v="NF4686"/>
    <n v="1738"/>
    <x v="8"/>
    <n v="2019"/>
    <x v="8"/>
    <x v="2"/>
    <x v="8"/>
    <x v="2"/>
    <x v="0"/>
  </r>
  <r>
    <d v="2019-04-06T00:00:00"/>
    <d v="2019-04-06T00:00:00"/>
    <d v="2019-04-06T00:00:00"/>
    <x v="0"/>
    <x v="1"/>
    <s v="NF9108"/>
    <n v="732"/>
    <x v="8"/>
    <n v="2019"/>
    <x v="8"/>
    <x v="2"/>
    <x v="8"/>
    <x v="2"/>
    <x v="0"/>
  </r>
  <r>
    <d v="2019-06-09T01:28:28"/>
    <d v="2019-04-07T00:00:00"/>
    <d v="2019-05-01T16:38:34"/>
    <x v="0"/>
    <x v="2"/>
    <s v="NF1934"/>
    <n v="373"/>
    <x v="11"/>
    <n v="2019"/>
    <x v="8"/>
    <x v="2"/>
    <x v="9"/>
    <x v="2"/>
    <x v="0"/>
  </r>
  <r>
    <d v="2019-05-24T04:50:10"/>
    <d v="2019-04-09T00:00:00"/>
    <d v="2019-05-24T04:50:10"/>
    <x v="0"/>
    <x v="0"/>
    <s v="NF5748"/>
    <n v="609"/>
    <x v="9"/>
    <n v="2019"/>
    <x v="8"/>
    <x v="2"/>
    <x v="9"/>
    <x v="2"/>
    <x v="0"/>
  </r>
  <r>
    <d v="2019-05-30T01:49:11"/>
    <d v="2019-04-12T00:00:00"/>
    <d v="2019-05-30T01:49:11"/>
    <x v="0"/>
    <x v="1"/>
    <s v="NF3443"/>
    <n v="2883"/>
    <x v="9"/>
    <n v="2019"/>
    <x v="8"/>
    <x v="2"/>
    <x v="9"/>
    <x v="2"/>
    <x v="0"/>
  </r>
  <r>
    <d v="2019-04-14T00:00:00"/>
    <d v="2019-04-14T00:00:00"/>
    <d v="2019-04-14T00:00:00"/>
    <x v="0"/>
    <x v="0"/>
    <s v="NF4433"/>
    <n v="4651"/>
    <x v="8"/>
    <n v="2019"/>
    <x v="8"/>
    <x v="2"/>
    <x v="8"/>
    <x v="2"/>
    <x v="0"/>
  </r>
  <r>
    <s v=""/>
    <d v="2019-04-18T00:00:00"/>
    <d v="2019-04-24T22:21:53"/>
    <x v="0"/>
    <x v="0"/>
    <s v="NF7700"/>
    <n v="4797"/>
    <x v="4"/>
    <n v="0"/>
    <x v="8"/>
    <x v="2"/>
    <x v="8"/>
    <x v="2"/>
    <x v="1"/>
  </r>
  <r>
    <d v="2019-05-13T22:29:22"/>
    <d v="2019-04-20T00:00:00"/>
    <d v="2019-05-13T22:29:22"/>
    <x v="0"/>
    <x v="4"/>
    <s v="NF8475"/>
    <n v="1620"/>
    <x v="9"/>
    <n v="2019"/>
    <x v="8"/>
    <x v="2"/>
    <x v="9"/>
    <x v="2"/>
    <x v="0"/>
  </r>
  <r>
    <d v="2019-08-06T22:12:44"/>
    <d v="2019-04-27T00:00:00"/>
    <d v="2019-06-09T20:50:45"/>
    <x v="0"/>
    <x v="2"/>
    <s v="NF3694"/>
    <n v="245"/>
    <x v="12"/>
    <n v="2019"/>
    <x v="8"/>
    <x v="2"/>
    <x v="10"/>
    <x v="2"/>
    <x v="0"/>
  </r>
  <r>
    <d v="2019-05-10T23:40:58"/>
    <d v="2019-04-29T00:00:00"/>
    <d v="2019-05-10T23:40:58"/>
    <x v="0"/>
    <x v="1"/>
    <s v="NF5571"/>
    <n v="2091"/>
    <x v="9"/>
    <n v="2019"/>
    <x v="8"/>
    <x v="2"/>
    <x v="9"/>
    <x v="2"/>
    <x v="0"/>
  </r>
  <r>
    <d v="2019-05-09T10:26:18"/>
    <d v="2019-04-30T00:00:00"/>
    <d v="2019-05-09T10:26:18"/>
    <x v="0"/>
    <x v="1"/>
    <s v="NF7836"/>
    <n v="3200"/>
    <x v="9"/>
    <n v="2019"/>
    <x v="8"/>
    <x v="2"/>
    <x v="9"/>
    <x v="2"/>
    <x v="0"/>
  </r>
  <r>
    <d v="2019-05-02T00:00:00"/>
    <d v="2019-05-02T00:00:00"/>
    <d v="2019-05-02T00:00:00"/>
    <x v="0"/>
    <x v="2"/>
    <s v="NF7705"/>
    <n v="583"/>
    <x v="9"/>
    <n v="2019"/>
    <x v="9"/>
    <x v="2"/>
    <x v="9"/>
    <x v="2"/>
    <x v="0"/>
  </r>
  <r>
    <d v="2019-06-10T13:50:40"/>
    <d v="2019-05-05T00:00:00"/>
    <d v="2019-06-10T13:50:40"/>
    <x v="0"/>
    <x v="1"/>
    <s v="NF1629"/>
    <n v="4505"/>
    <x v="11"/>
    <n v="2019"/>
    <x v="9"/>
    <x v="2"/>
    <x v="10"/>
    <x v="2"/>
    <x v="0"/>
  </r>
  <r>
    <d v="2019-05-07T00:00:00"/>
    <d v="2019-05-07T00:00:00"/>
    <d v="2019-05-07T00:00:00"/>
    <x v="0"/>
    <x v="1"/>
    <s v="NF4027"/>
    <n v="343"/>
    <x v="9"/>
    <n v="2019"/>
    <x v="9"/>
    <x v="2"/>
    <x v="9"/>
    <x v="2"/>
    <x v="0"/>
  </r>
  <r>
    <d v="2019-05-18T16:19:11"/>
    <d v="2019-05-08T00:00:00"/>
    <d v="2019-05-18T16:19:11"/>
    <x v="0"/>
    <x v="0"/>
    <s v="NF7582"/>
    <n v="4510"/>
    <x v="9"/>
    <n v="2019"/>
    <x v="9"/>
    <x v="2"/>
    <x v="9"/>
    <x v="2"/>
    <x v="0"/>
  </r>
  <r>
    <d v="2019-05-12T00:00:00"/>
    <d v="2019-05-12T00:00:00"/>
    <d v="2019-05-12T00:00:00"/>
    <x v="0"/>
    <x v="1"/>
    <s v="NF7868"/>
    <n v="667"/>
    <x v="9"/>
    <n v="2019"/>
    <x v="9"/>
    <x v="2"/>
    <x v="9"/>
    <x v="2"/>
    <x v="0"/>
  </r>
  <r>
    <d v="2019-06-15T04:03:49"/>
    <d v="2019-05-15T00:00:00"/>
    <d v="2019-06-15T04:03:49"/>
    <x v="0"/>
    <x v="1"/>
    <s v="NF6154"/>
    <n v="1006"/>
    <x v="11"/>
    <n v="2019"/>
    <x v="9"/>
    <x v="2"/>
    <x v="10"/>
    <x v="2"/>
    <x v="0"/>
  </r>
  <r>
    <d v="2019-06-19T21:04:28"/>
    <d v="2019-05-19T00:00:00"/>
    <d v="2019-06-19T21:04:28"/>
    <x v="0"/>
    <x v="2"/>
    <s v="NF5531"/>
    <n v="1071"/>
    <x v="11"/>
    <n v="2019"/>
    <x v="9"/>
    <x v="2"/>
    <x v="10"/>
    <x v="2"/>
    <x v="0"/>
  </r>
  <r>
    <d v="2019-06-14T06:55:19"/>
    <d v="2019-05-24T00:00:00"/>
    <d v="2019-06-14T06:55:19"/>
    <x v="0"/>
    <x v="4"/>
    <s v="NF9744"/>
    <n v="2194"/>
    <x v="11"/>
    <n v="2019"/>
    <x v="9"/>
    <x v="2"/>
    <x v="10"/>
    <x v="2"/>
    <x v="0"/>
  </r>
  <r>
    <s v=""/>
    <d v="2019-05-26T00:00:00"/>
    <d v="2019-05-26T20:19:16"/>
    <x v="0"/>
    <x v="1"/>
    <s v="NF1516"/>
    <n v="2531"/>
    <x v="4"/>
    <n v="0"/>
    <x v="9"/>
    <x v="2"/>
    <x v="9"/>
    <x v="2"/>
    <x v="1"/>
  </r>
  <r>
    <d v="2019-07-09T05:14:28"/>
    <d v="2019-05-29T00:00:00"/>
    <d v="2019-07-09T05:14:28"/>
    <x v="0"/>
    <x v="0"/>
    <s v="NF2007"/>
    <n v="657"/>
    <x v="10"/>
    <n v="2019"/>
    <x v="9"/>
    <x v="2"/>
    <x v="11"/>
    <x v="2"/>
    <x v="0"/>
  </r>
  <r>
    <s v=""/>
    <d v="2019-05-30T00:00:00"/>
    <d v="2019-07-02T04:12:39"/>
    <x v="0"/>
    <x v="3"/>
    <s v="NF9904"/>
    <n v="4535"/>
    <x v="4"/>
    <n v="0"/>
    <x v="9"/>
    <x v="2"/>
    <x v="11"/>
    <x v="2"/>
    <x v="0"/>
  </r>
  <r>
    <d v="2019-06-25T14:48:17"/>
    <d v="2019-06-04T00:00:00"/>
    <d v="2019-06-25T14:48:17"/>
    <x v="0"/>
    <x v="1"/>
    <s v="NF8631"/>
    <n v="1848"/>
    <x v="11"/>
    <n v="2019"/>
    <x v="10"/>
    <x v="2"/>
    <x v="10"/>
    <x v="2"/>
    <x v="0"/>
  </r>
  <r>
    <d v="2019-07-03T18:54:53"/>
    <d v="2019-06-09T00:00:00"/>
    <d v="2019-06-16T20:20:17"/>
    <x v="0"/>
    <x v="1"/>
    <s v="NF5098"/>
    <n v="191"/>
    <x v="10"/>
    <n v="2019"/>
    <x v="10"/>
    <x v="2"/>
    <x v="10"/>
    <x v="2"/>
    <x v="0"/>
  </r>
  <r>
    <d v="2019-10-05T04:49:36"/>
    <d v="2019-06-13T00:00:00"/>
    <d v="2019-07-22T22:11:49"/>
    <x v="0"/>
    <x v="3"/>
    <s v="NF8169"/>
    <n v="508"/>
    <x v="1"/>
    <n v="2019"/>
    <x v="10"/>
    <x v="2"/>
    <x v="11"/>
    <x v="2"/>
    <x v="0"/>
  </r>
  <r>
    <s v=""/>
    <d v="2019-06-15T00:00:00"/>
    <d v="2019-06-15T00:00:00"/>
    <x v="0"/>
    <x v="4"/>
    <s v="NF4469"/>
    <n v="1482"/>
    <x v="4"/>
    <n v="0"/>
    <x v="10"/>
    <x v="2"/>
    <x v="10"/>
    <x v="2"/>
    <x v="0"/>
  </r>
  <r>
    <d v="2019-07-01T14:28:40"/>
    <d v="2019-06-16T00:00:00"/>
    <d v="2019-07-01T14:28:40"/>
    <x v="0"/>
    <x v="2"/>
    <s v="NF6729"/>
    <n v="555"/>
    <x v="10"/>
    <n v="2019"/>
    <x v="10"/>
    <x v="2"/>
    <x v="11"/>
    <x v="2"/>
    <x v="0"/>
  </r>
  <r>
    <d v="2019-08-10T13:42:12"/>
    <d v="2019-06-20T00:00:00"/>
    <d v="2019-08-10T13:42:12"/>
    <x v="0"/>
    <x v="3"/>
    <s v="NF3586"/>
    <n v="1906"/>
    <x v="12"/>
    <n v="2019"/>
    <x v="10"/>
    <x v="2"/>
    <x v="0"/>
    <x v="2"/>
    <x v="0"/>
  </r>
  <r>
    <d v="2019-08-25T19:31:36"/>
    <d v="2019-06-25T00:00:00"/>
    <d v="2019-06-29T06:28:21"/>
    <x v="0"/>
    <x v="3"/>
    <s v="NF9837"/>
    <n v="450"/>
    <x v="12"/>
    <n v="2019"/>
    <x v="10"/>
    <x v="2"/>
    <x v="10"/>
    <x v="2"/>
    <x v="0"/>
  </r>
  <r>
    <d v="2019-09-02T08:40:16"/>
    <d v="2019-06-28T00:00:00"/>
    <d v="2019-07-16T06:26:47"/>
    <x v="0"/>
    <x v="1"/>
    <s v="NF6344"/>
    <n v="1479"/>
    <x v="0"/>
    <n v="2019"/>
    <x v="10"/>
    <x v="2"/>
    <x v="11"/>
    <x v="2"/>
    <x v="0"/>
  </r>
  <r>
    <d v="2019-07-01T19:32:54"/>
    <d v="2019-06-29T00:00:00"/>
    <d v="2019-07-01T19:32:54"/>
    <x v="0"/>
    <x v="1"/>
    <s v="NF3701"/>
    <n v="3446"/>
    <x v="10"/>
    <n v="2019"/>
    <x v="10"/>
    <x v="2"/>
    <x v="11"/>
    <x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9">
  <r>
    <d v="2017-10-07T00:00:00"/>
    <d v="2017-08-10T00:00:00"/>
    <d v="2017-10-07T00:00:00"/>
    <x v="0"/>
    <x v="0"/>
    <s v="NF4400"/>
    <n v="4021"/>
    <x v="0"/>
    <n v="2017"/>
    <x v="0"/>
    <x v="0"/>
    <x v="0"/>
    <x v="0"/>
    <n v="0"/>
  </r>
  <r>
    <d v="2017-09-17T00:00:00"/>
    <d v="2017-08-13T00:00:00"/>
    <d v="2017-09-17T00:00:00"/>
    <x v="0"/>
    <x v="1"/>
    <s v="NF5356"/>
    <n v="651"/>
    <x v="1"/>
    <n v="2017"/>
    <x v="0"/>
    <x v="0"/>
    <x v="1"/>
    <x v="0"/>
    <n v="0"/>
  </r>
  <r>
    <d v="2017-09-05T00:00:00"/>
    <d v="2017-08-18T00:00:00"/>
    <d v="2017-09-05T00:00:00"/>
    <x v="0"/>
    <x v="0"/>
    <s v="NF1847"/>
    <n v="131"/>
    <x v="1"/>
    <n v="2017"/>
    <x v="0"/>
    <x v="0"/>
    <x v="1"/>
    <x v="0"/>
    <n v="0"/>
  </r>
  <r>
    <d v="2017-09-26T00:00:00"/>
    <d v="2017-08-23T00:00:00"/>
    <d v="2017-09-26T00:00:00"/>
    <x v="0"/>
    <x v="0"/>
    <s v="NF7011"/>
    <n v="803"/>
    <x v="1"/>
    <n v="2017"/>
    <x v="0"/>
    <x v="0"/>
    <x v="1"/>
    <x v="0"/>
    <n v="0"/>
  </r>
  <r>
    <d v="2017-09-24T00:00:00"/>
    <d v="2017-08-24T00:00:00"/>
    <d v="2017-09-24T00:00:00"/>
    <x v="0"/>
    <x v="1"/>
    <s v="NF7746"/>
    <n v="4460"/>
    <x v="1"/>
    <n v="2017"/>
    <x v="0"/>
    <x v="0"/>
    <x v="1"/>
    <x v="0"/>
    <n v="0"/>
  </r>
  <r>
    <d v="2017-09-02T00:00:00"/>
    <d v="2017-08-25T00:00:00"/>
    <d v="2017-09-02T00:00:00"/>
    <x v="0"/>
    <x v="2"/>
    <s v="NF1507"/>
    <n v="299"/>
    <x v="1"/>
    <n v="2017"/>
    <x v="0"/>
    <x v="0"/>
    <x v="1"/>
    <x v="0"/>
    <n v="0"/>
  </r>
  <r>
    <d v="2017-10-06T00:00:00"/>
    <d v="2017-08-29T00:00:00"/>
    <d v="2017-10-06T00:00:00"/>
    <x v="0"/>
    <x v="1"/>
    <s v="NF5445"/>
    <n v="618"/>
    <x v="0"/>
    <n v="2017"/>
    <x v="0"/>
    <x v="0"/>
    <x v="0"/>
    <x v="0"/>
    <n v="0"/>
  </r>
  <r>
    <d v="2017-09-12T00:00:00"/>
    <d v="2017-09-01T00:00:00"/>
    <d v="2017-09-02T00:00:00"/>
    <x v="0"/>
    <x v="1"/>
    <s v="NF7526"/>
    <n v="2505"/>
    <x v="1"/>
    <n v="2017"/>
    <x v="1"/>
    <x v="0"/>
    <x v="1"/>
    <x v="0"/>
    <n v="10"/>
  </r>
  <r>
    <d v="2017-09-09T00:00:00"/>
    <d v="2017-09-04T00:00:00"/>
    <d v="2017-09-09T00:00:00"/>
    <x v="0"/>
    <x v="0"/>
    <s v="NF7559"/>
    <n v="817"/>
    <x v="1"/>
    <n v="2017"/>
    <x v="1"/>
    <x v="0"/>
    <x v="1"/>
    <x v="0"/>
    <n v="0"/>
  </r>
  <r>
    <s v=""/>
    <d v="2017-09-06T00:00:00"/>
    <d v="2017-09-06T00:00:00"/>
    <x v="0"/>
    <x v="2"/>
    <s v="NF9357"/>
    <n v="1565"/>
    <x v="2"/>
    <n v="0"/>
    <x v="1"/>
    <x v="0"/>
    <x v="1"/>
    <x v="0"/>
    <n v="643"/>
  </r>
  <r>
    <s v=""/>
    <d v="2017-09-12T00:00:00"/>
    <d v="2017-10-12T00:00:00"/>
    <x v="0"/>
    <x v="3"/>
    <s v="NF3898"/>
    <n v="1357"/>
    <x v="2"/>
    <n v="0"/>
    <x v="1"/>
    <x v="0"/>
    <x v="0"/>
    <x v="0"/>
    <n v="607"/>
  </r>
  <r>
    <d v="2017-09-13T00:00:00"/>
    <d v="2017-09-13T00:00:00"/>
    <d v="2017-09-13T00:00:00"/>
    <x v="0"/>
    <x v="3"/>
    <s v="NF7275"/>
    <n v="4739"/>
    <x v="1"/>
    <n v="2017"/>
    <x v="1"/>
    <x v="0"/>
    <x v="1"/>
    <x v="0"/>
    <n v="0"/>
  </r>
  <r>
    <d v="2017-09-14T00:00:00"/>
    <d v="2017-09-14T00:00:00"/>
    <d v="2017-09-14T00:00:00"/>
    <x v="0"/>
    <x v="0"/>
    <s v="NF9591"/>
    <n v="4675"/>
    <x v="1"/>
    <n v="2017"/>
    <x v="1"/>
    <x v="0"/>
    <x v="1"/>
    <x v="0"/>
    <n v="0"/>
  </r>
  <r>
    <d v="2017-09-26T00:00:00"/>
    <d v="2017-09-19T00:00:00"/>
    <d v="2017-09-26T00:00:00"/>
    <x v="0"/>
    <x v="1"/>
    <s v="NF3104"/>
    <n v="1797"/>
    <x v="1"/>
    <n v="2017"/>
    <x v="1"/>
    <x v="0"/>
    <x v="1"/>
    <x v="0"/>
    <n v="0"/>
  </r>
  <r>
    <d v="2017-11-04T00:00:00"/>
    <d v="2017-09-24T00:00:00"/>
    <d v="2017-11-04T00:00:00"/>
    <x v="0"/>
    <x v="3"/>
    <s v="NF3440"/>
    <n v="888"/>
    <x v="3"/>
    <n v="2017"/>
    <x v="1"/>
    <x v="0"/>
    <x v="2"/>
    <x v="0"/>
    <n v="0"/>
  </r>
  <r>
    <s v=""/>
    <d v="2017-09-25T00:00:00"/>
    <d v="2017-10-07T00:00:00"/>
    <x v="0"/>
    <x v="1"/>
    <s v="NF9195"/>
    <n v="2784"/>
    <x v="2"/>
    <n v="0"/>
    <x v="1"/>
    <x v="0"/>
    <x v="0"/>
    <x v="0"/>
    <n v="612"/>
  </r>
  <r>
    <d v="2017-10-02T00:00:00"/>
    <d v="2017-09-25T00:00:00"/>
    <d v="2017-10-02T00:00:00"/>
    <x v="0"/>
    <x v="2"/>
    <s v="NF1821"/>
    <n v="707"/>
    <x v="0"/>
    <n v="2017"/>
    <x v="1"/>
    <x v="0"/>
    <x v="0"/>
    <x v="0"/>
    <n v="0"/>
  </r>
  <r>
    <d v="2017-11-03T00:00:00"/>
    <d v="2017-09-28T00:00:00"/>
    <d v="2017-11-03T00:00:00"/>
    <x v="0"/>
    <x v="2"/>
    <s v="NF5625"/>
    <n v="229"/>
    <x v="3"/>
    <n v="2017"/>
    <x v="1"/>
    <x v="0"/>
    <x v="2"/>
    <x v="0"/>
    <n v="0"/>
  </r>
  <r>
    <d v="2017-10-01T00:00:00"/>
    <d v="2017-10-01T00:00:00"/>
    <d v="2017-10-01T00:00:00"/>
    <x v="0"/>
    <x v="1"/>
    <s v="NF7471"/>
    <n v="2894"/>
    <x v="0"/>
    <n v="2017"/>
    <x v="2"/>
    <x v="0"/>
    <x v="0"/>
    <x v="0"/>
    <n v="0"/>
  </r>
  <r>
    <d v="2017-10-22T00:00:00"/>
    <d v="2017-10-04T00:00:00"/>
    <d v="2017-10-22T00:00:00"/>
    <x v="0"/>
    <x v="3"/>
    <s v="NF9225"/>
    <n v="4516"/>
    <x v="0"/>
    <n v="2017"/>
    <x v="2"/>
    <x v="0"/>
    <x v="0"/>
    <x v="0"/>
    <n v="0"/>
  </r>
  <r>
    <d v="2017-10-23T00:00:00"/>
    <d v="2017-10-06T00:00:00"/>
    <d v="2017-10-23T00:00:00"/>
    <x v="0"/>
    <x v="3"/>
    <s v="NF3883"/>
    <n v="885"/>
    <x v="0"/>
    <n v="2017"/>
    <x v="2"/>
    <x v="0"/>
    <x v="0"/>
    <x v="0"/>
    <n v="0"/>
  </r>
  <r>
    <d v="2017-11-07T00:00:00"/>
    <d v="2017-10-09T00:00:00"/>
    <d v="2017-11-07T00:00:00"/>
    <x v="0"/>
    <x v="4"/>
    <s v="NF9408"/>
    <n v="1509"/>
    <x v="3"/>
    <n v="2017"/>
    <x v="2"/>
    <x v="0"/>
    <x v="2"/>
    <x v="0"/>
    <n v="0"/>
  </r>
  <r>
    <d v="2017-10-14T00:00:00"/>
    <d v="2017-10-14T00:00:00"/>
    <d v="2017-10-14T00:00:00"/>
    <x v="0"/>
    <x v="1"/>
    <s v="NF1517"/>
    <n v="145"/>
    <x v="0"/>
    <n v="2017"/>
    <x v="2"/>
    <x v="0"/>
    <x v="0"/>
    <x v="0"/>
    <n v="0"/>
  </r>
  <r>
    <d v="2017-10-23T00:00:00"/>
    <d v="2017-10-16T00:00:00"/>
    <d v="2017-10-23T00:00:00"/>
    <x v="0"/>
    <x v="1"/>
    <s v="NF8626"/>
    <n v="1311"/>
    <x v="0"/>
    <n v="2017"/>
    <x v="2"/>
    <x v="0"/>
    <x v="0"/>
    <x v="0"/>
    <n v="0"/>
  </r>
  <r>
    <d v="2017-10-18T00:00:00"/>
    <d v="2017-10-18T00:00:00"/>
    <d v="2017-10-18T00:00:00"/>
    <x v="0"/>
    <x v="1"/>
    <s v="NF4936"/>
    <n v="4182"/>
    <x v="0"/>
    <n v="2017"/>
    <x v="2"/>
    <x v="0"/>
    <x v="0"/>
    <x v="0"/>
    <n v="0"/>
  </r>
  <r>
    <d v="2017-11-26T00:00:00"/>
    <d v="2017-10-24T00:00:00"/>
    <d v="2017-10-29T00:00:00"/>
    <x v="0"/>
    <x v="2"/>
    <s v="NF7062"/>
    <n v="339"/>
    <x v="3"/>
    <n v="2017"/>
    <x v="2"/>
    <x v="0"/>
    <x v="0"/>
    <x v="0"/>
    <n v="28"/>
  </r>
  <r>
    <d v="2017-12-02T00:00:00"/>
    <d v="2017-10-29T00:00:00"/>
    <d v="2017-11-29T00:00:00"/>
    <x v="0"/>
    <x v="4"/>
    <s v="NF3172"/>
    <n v="1788"/>
    <x v="4"/>
    <n v="2017"/>
    <x v="2"/>
    <x v="0"/>
    <x v="2"/>
    <x v="0"/>
    <n v="3"/>
  </r>
  <r>
    <d v="2017-12-20T00:00:00"/>
    <d v="2017-11-03T00:00:00"/>
    <d v="2017-12-20T00:00:00"/>
    <x v="0"/>
    <x v="3"/>
    <s v="NF5821"/>
    <n v="1171"/>
    <x v="4"/>
    <n v="2017"/>
    <x v="3"/>
    <x v="0"/>
    <x v="3"/>
    <x v="0"/>
    <n v="0"/>
  </r>
  <r>
    <d v="2017-11-05T00:00:00"/>
    <d v="2017-11-05T00:00:00"/>
    <d v="2017-11-05T00:00:00"/>
    <x v="0"/>
    <x v="1"/>
    <s v="NF8137"/>
    <n v="4059"/>
    <x v="3"/>
    <n v="2017"/>
    <x v="3"/>
    <x v="0"/>
    <x v="2"/>
    <x v="0"/>
    <n v="0"/>
  </r>
  <r>
    <d v="2017-11-08T00:00:00"/>
    <d v="2017-11-08T00:00:00"/>
    <d v="2017-11-08T00:00:00"/>
    <x v="0"/>
    <x v="0"/>
    <s v="NF8083"/>
    <n v="4919"/>
    <x v="3"/>
    <n v="2017"/>
    <x v="3"/>
    <x v="0"/>
    <x v="2"/>
    <x v="0"/>
    <n v="0"/>
  </r>
  <r>
    <d v="2017-12-18T00:00:00"/>
    <d v="2017-11-12T00:00:00"/>
    <d v="2017-12-18T00:00:00"/>
    <x v="0"/>
    <x v="1"/>
    <s v="NF9597"/>
    <n v="3224"/>
    <x v="4"/>
    <n v="2017"/>
    <x v="3"/>
    <x v="0"/>
    <x v="3"/>
    <x v="0"/>
    <n v="0"/>
  </r>
  <r>
    <d v="2017-12-26T00:00:00"/>
    <d v="2017-11-15T00:00:00"/>
    <d v="2017-12-26T00:00:00"/>
    <x v="0"/>
    <x v="3"/>
    <s v="NF2065"/>
    <n v="3725"/>
    <x v="4"/>
    <n v="2017"/>
    <x v="3"/>
    <x v="0"/>
    <x v="3"/>
    <x v="0"/>
    <n v="0"/>
  </r>
  <r>
    <d v="2017-11-17T00:00:00"/>
    <d v="2017-11-17T00:00:00"/>
    <d v="2017-11-17T00:00:00"/>
    <x v="0"/>
    <x v="3"/>
    <s v="NF3192"/>
    <n v="312"/>
    <x v="3"/>
    <n v="2017"/>
    <x v="3"/>
    <x v="0"/>
    <x v="2"/>
    <x v="0"/>
    <n v="0"/>
  </r>
  <r>
    <d v="2018-01-12T00:00:00"/>
    <d v="2017-11-18T00:00:00"/>
    <d v="2018-01-12T00:00:00"/>
    <x v="0"/>
    <x v="1"/>
    <s v="NF1977"/>
    <n v="4773"/>
    <x v="5"/>
    <n v="2018"/>
    <x v="3"/>
    <x v="0"/>
    <x v="4"/>
    <x v="1"/>
    <n v="0"/>
  </r>
  <r>
    <d v="2018-01-01T00:00:00"/>
    <d v="2017-11-19T00:00:00"/>
    <d v="2017-11-19T00:00:00"/>
    <x v="0"/>
    <x v="0"/>
    <s v="NF3208"/>
    <n v="228"/>
    <x v="5"/>
    <n v="2018"/>
    <x v="3"/>
    <x v="0"/>
    <x v="2"/>
    <x v="0"/>
    <n v="43"/>
  </r>
  <r>
    <d v="2017-11-22T00:00:00"/>
    <d v="2017-11-22T00:00:00"/>
    <d v="2017-11-22T00:00:00"/>
    <x v="0"/>
    <x v="1"/>
    <s v="NF9545"/>
    <n v="450"/>
    <x v="3"/>
    <n v="2017"/>
    <x v="3"/>
    <x v="0"/>
    <x v="2"/>
    <x v="0"/>
    <n v="0"/>
  </r>
  <r>
    <d v="2018-01-03T00:00:00"/>
    <d v="2017-11-23T00:00:00"/>
    <d v="2018-01-03T00:00:00"/>
    <x v="0"/>
    <x v="1"/>
    <s v="NF3100"/>
    <n v="1155"/>
    <x v="5"/>
    <n v="2018"/>
    <x v="3"/>
    <x v="0"/>
    <x v="4"/>
    <x v="1"/>
    <n v="0"/>
  </r>
  <r>
    <d v="2017-12-01T00:00:00"/>
    <d v="2017-11-30T00:00:00"/>
    <d v="2017-12-01T00:00:00"/>
    <x v="0"/>
    <x v="1"/>
    <s v="NF7746"/>
    <n v="1967"/>
    <x v="4"/>
    <n v="2017"/>
    <x v="3"/>
    <x v="0"/>
    <x v="3"/>
    <x v="0"/>
    <n v="0"/>
  </r>
  <r>
    <d v="2017-12-27T00:00:00"/>
    <d v="2017-12-01T00:00:00"/>
    <d v="2017-12-27T00:00:00"/>
    <x v="0"/>
    <x v="4"/>
    <s v="NF1179"/>
    <n v="2741"/>
    <x v="4"/>
    <n v="2017"/>
    <x v="4"/>
    <x v="0"/>
    <x v="3"/>
    <x v="0"/>
    <n v="0"/>
  </r>
  <r>
    <d v="2018-01-25T00:00:00"/>
    <d v="2017-12-02T00:00:00"/>
    <d v="2018-01-25T00:00:00"/>
    <x v="0"/>
    <x v="2"/>
    <s v="NF3829"/>
    <n v="1130"/>
    <x v="5"/>
    <n v="2018"/>
    <x v="4"/>
    <x v="0"/>
    <x v="4"/>
    <x v="1"/>
    <n v="0"/>
  </r>
  <r>
    <d v="2017-12-06T00:00:00"/>
    <d v="2017-12-06T00:00:00"/>
    <d v="2017-12-06T00:00:00"/>
    <x v="0"/>
    <x v="3"/>
    <s v="NF6865"/>
    <n v="4835"/>
    <x v="4"/>
    <n v="2017"/>
    <x v="4"/>
    <x v="0"/>
    <x v="3"/>
    <x v="0"/>
    <n v="0"/>
  </r>
  <r>
    <d v="2017-12-08T00:00:00"/>
    <d v="2017-12-08T00:00:00"/>
    <d v="2017-12-08T00:00:00"/>
    <x v="0"/>
    <x v="4"/>
    <s v="NF4400"/>
    <n v="1411"/>
    <x v="4"/>
    <n v="2017"/>
    <x v="4"/>
    <x v="0"/>
    <x v="3"/>
    <x v="0"/>
    <n v="0"/>
  </r>
  <r>
    <d v="2017-12-30T00:00:00"/>
    <d v="2017-12-10T00:00:00"/>
    <d v="2017-12-30T00:00:00"/>
    <x v="0"/>
    <x v="1"/>
    <s v="NF9617"/>
    <n v="457"/>
    <x v="4"/>
    <n v="2017"/>
    <x v="4"/>
    <x v="0"/>
    <x v="3"/>
    <x v="0"/>
    <n v="0"/>
  </r>
  <r>
    <s v=""/>
    <d v="2017-12-15T00:00:00"/>
    <d v="2018-02-11T00:00:00"/>
    <x v="0"/>
    <x v="2"/>
    <s v="NF5659"/>
    <n v="2623"/>
    <x v="2"/>
    <n v="0"/>
    <x v="4"/>
    <x v="0"/>
    <x v="5"/>
    <x v="1"/>
    <n v="485"/>
  </r>
  <r>
    <d v="2017-12-29T00:00:00"/>
    <d v="2017-12-17T00:00:00"/>
    <d v="2017-12-29T00:00:00"/>
    <x v="0"/>
    <x v="4"/>
    <s v="NF6102"/>
    <n v="3440"/>
    <x v="4"/>
    <n v="2017"/>
    <x v="4"/>
    <x v="0"/>
    <x v="3"/>
    <x v="0"/>
    <n v="0"/>
  </r>
  <r>
    <d v="2018-01-11T00:00:00"/>
    <d v="2017-12-20T00:00:00"/>
    <d v="2018-01-11T00:00:00"/>
    <x v="0"/>
    <x v="1"/>
    <s v="NF8162"/>
    <n v="3993"/>
    <x v="5"/>
    <n v="2018"/>
    <x v="4"/>
    <x v="0"/>
    <x v="4"/>
    <x v="1"/>
    <n v="0"/>
  </r>
  <r>
    <d v="2018-02-20T00:00:00"/>
    <d v="2017-12-21T00:00:00"/>
    <d v="2018-02-17T00:00:00"/>
    <x v="0"/>
    <x v="1"/>
    <s v="NF4573"/>
    <n v="3273"/>
    <x v="6"/>
    <n v="2018"/>
    <x v="4"/>
    <x v="0"/>
    <x v="5"/>
    <x v="1"/>
    <n v="3"/>
  </r>
  <r>
    <d v="2017-12-25T00:00:00"/>
    <d v="2017-12-25T00:00:00"/>
    <d v="2017-12-25T00:00:00"/>
    <x v="0"/>
    <x v="4"/>
    <s v="NF8503"/>
    <n v="4494"/>
    <x v="4"/>
    <n v="2017"/>
    <x v="4"/>
    <x v="0"/>
    <x v="3"/>
    <x v="0"/>
    <n v="0"/>
  </r>
  <r>
    <d v="2018-01-24T00:00:00"/>
    <d v="2017-12-27T00:00:00"/>
    <d v="2018-01-24T00:00:00"/>
    <x v="0"/>
    <x v="0"/>
    <s v="NF3380"/>
    <n v="2511"/>
    <x v="5"/>
    <n v="2018"/>
    <x v="4"/>
    <x v="0"/>
    <x v="4"/>
    <x v="1"/>
    <n v="0"/>
  </r>
  <r>
    <d v="2017-12-29T00:00:00"/>
    <d v="2017-12-29T00:00:00"/>
    <d v="2017-12-29T00:00:00"/>
    <x v="0"/>
    <x v="2"/>
    <s v="NF6566"/>
    <n v="2015"/>
    <x v="4"/>
    <n v="2017"/>
    <x v="4"/>
    <x v="0"/>
    <x v="3"/>
    <x v="0"/>
    <n v="0"/>
  </r>
  <r>
    <s v=""/>
    <d v="2017-12-31T00:00:00"/>
    <d v="2018-02-20T00:00:00"/>
    <x v="0"/>
    <x v="3"/>
    <s v="NF5838"/>
    <n v="3413"/>
    <x v="2"/>
    <n v="0"/>
    <x v="4"/>
    <x v="0"/>
    <x v="5"/>
    <x v="1"/>
    <n v="476"/>
  </r>
  <r>
    <d v="2018-01-08T00:00:00"/>
    <d v="2018-01-03T00:00:00"/>
    <d v="2018-01-08T00:00:00"/>
    <x v="0"/>
    <x v="0"/>
    <s v="NF1174"/>
    <n v="4087"/>
    <x v="5"/>
    <n v="2018"/>
    <x v="5"/>
    <x v="1"/>
    <x v="4"/>
    <x v="1"/>
    <n v="0"/>
  </r>
  <r>
    <d v="2018-01-17T00:00:00"/>
    <d v="2018-01-06T00:00:00"/>
    <d v="2018-01-17T00:00:00"/>
    <x v="0"/>
    <x v="1"/>
    <s v="NF2942"/>
    <n v="2441"/>
    <x v="5"/>
    <n v="2018"/>
    <x v="5"/>
    <x v="1"/>
    <x v="4"/>
    <x v="1"/>
    <n v="0"/>
  </r>
  <r>
    <s v=""/>
    <d v="2018-01-09T00:00:00"/>
    <d v="2018-01-09T00:00:00"/>
    <x v="0"/>
    <x v="2"/>
    <s v="NF8563"/>
    <n v="3598"/>
    <x v="2"/>
    <n v="0"/>
    <x v="5"/>
    <x v="1"/>
    <x v="4"/>
    <x v="1"/>
    <n v="518"/>
  </r>
  <r>
    <d v="2018-01-10T00:00:00"/>
    <d v="2018-01-10T00:00:00"/>
    <d v="2018-01-10T00:00:00"/>
    <x v="0"/>
    <x v="1"/>
    <s v="NF8237"/>
    <n v="4895"/>
    <x v="5"/>
    <n v="2018"/>
    <x v="5"/>
    <x v="1"/>
    <x v="4"/>
    <x v="1"/>
    <n v="0"/>
  </r>
  <r>
    <s v=""/>
    <d v="2018-01-12T00:00:00"/>
    <d v="2018-01-12T00:00:00"/>
    <x v="0"/>
    <x v="1"/>
    <s v="NF4859"/>
    <n v="971"/>
    <x v="2"/>
    <n v="0"/>
    <x v="5"/>
    <x v="1"/>
    <x v="4"/>
    <x v="1"/>
    <n v="515"/>
  </r>
  <r>
    <d v="2018-02-06T00:00:00"/>
    <d v="2018-01-13T00:00:00"/>
    <d v="2018-02-06T00:00:00"/>
    <x v="0"/>
    <x v="0"/>
    <s v="NF1529"/>
    <n v="556"/>
    <x v="6"/>
    <n v="2018"/>
    <x v="5"/>
    <x v="1"/>
    <x v="5"/>
    <x v="1"/>
    <n v="0"/>
  </r>
  <r>
    <d v="2018-02-13T00:00:00"/>
    <d v="2018-01-14T00:00:00"/>
    <d v="2018-02-13T00:00:00"/>
    <x v="0"/>
    <x v="0"/>
    <s v="NF6931"/>
    <n v="1977"/>
    <x v="6"/>
    <n v="2018"/>
    <x v="5"/>
    <x v="1"/>
    <x v="5"/>
    <x v="1"/>
    <n v="0"/>
  </r>
  <r>
    <d v="2018-01-16T00:00:00"/>
    <d v="2018-01-16T00:00:00"/>
    <d v="2018-01-16T00:00:00"/>
    <x v="0"/>
    <x v="1"/>
    <s v="NF7559"/>
    <n v="2951"/>
    <x v="5"/>
    <n v="2018"/>
    <x v="5"/>
    <x v="1"/>
    <x v="4"/>
    <x v="1"/>
    <n v="0"/>
  </r>
  <r>
    <d v="2018-02-02T00:00:00"/>
    <d v="2018-01-20T00:00:00"/>
    <d v="2018-01-20T00:00:00"/>
    <x v="0"/>
    <x v="1"/>
    <s v="NF9620"/>
    <n v="2535"/>
    <x v="6"/>
    <n v="2018"/>
    <x v="5"/>
    <x v="1"/>
    <x v="4"/>
    <x v="1"/>
    <n v="13"/>
  </r>
  <r>
    <d v="2018-02-10T00:00:00"/>
    <d v="2018-01-21T00:00:00"/>
    <d v="2018-02-10T00:00:00"/>
    <x v="0"/>
    <x v="4"/>
    <s v="NF4547"/>
    <n v="3057"/>
    <x v="6"/>
    <n v="2018"/>
    <x v="5"/>
    <x v="1"/>
    <x v="5"/>
    <x v="1"/>
    <n v="0"/>
  </r>
  <r>
    <d v="2018-02-09T00:00:00"/>
    <d v="2018-01-23T00:00:00"/>
    <d v="2018-02-09T00:00:00"/>
    <x v="0"/>
    <x v="0"/>
    <s v="NF6004"/>
    <n v="3152"/>
    <x v="6"/>
    <n v="2018"/>
    <x v="5"/>
    <x v="1"/>
    <x v="5"/>
    <x v="1"/>
    <n v="0"/>
  </r>
  <r>
    <s v=""/>
    <d v="2018-01-25T00:00:00"/>
    <d v="2018-01-25T00:00:00"/>
    <x v="0"/>
    <x v="3"/>
    <s v="NF3415"/>
    <n v="2247"/>
    <x v="2"/>
    <n v="0"/>
    <x v="5"/>
    <x v="1"/>
    <x v="4"/>
    <x v="1"/>
    <n v="502"/>
  </r>
  <r>
    <d v="2018-03-19T00:00:00"/>
    <d v="2018-01-27T00:00:00"/>
    <d v="2018-01-27T00:00:00"/>
    <x v="0"/>
    <x v="2"/>
    <s v="NF1603"/>
    <n v="2456"/>
    <x v="7"/>
    <n v="2018"/>
    <x v="5"/>
    <x v="1"/>
    <x v="4"/>
    <x v="1"/>
    <n v="51"/>
  </r>
  <r>
    <d v="2018-04-25T00:00:00"/>
    <d v="2018-01-29T00:00:00"/>
    <d v="2018-01-29T00:00:00"/>
    <x v="0"/>
    <x v="1"/>
    <s v="NF8784"/>
    <n v="3801"/>
    <x v="8"/>
    <n v="2018"/>
    <x v="5"/>
    <x v="1"/>
    <x v="4"/>
    <x v="1"/>
    <n v="86"/>
  </r>
  <r>
    <d v="2018-01-31T00:00:00"/>
    <d v="2018-01-31T00:00:00"/>
    <d v="2018-01-31T00:00:00"/>
    <x v="0"/>
    <x v="0"/>
    <s v="NF1826"/>
    <n v="3049"/>
    <x v="5"/>
    <n v="2018"/>
    <x v="5"/>
    <x v="1"/>
    <x v="4"/>
    <x v="1"/>
    <n v="0"/>
  </r>
  <r>
    <s v=""/>
    <d v="2018-02-04T00:00:00"/>
    <d v="2018-02-04T00:00:00"/>
    <x v="0"/>
    <x v="4"/>
    <s v="NF7390"/>
    <n v="3255"/>
    <x v="2"/>
    <n v="0"/>
    <x v="6"/>
    <x v="1"/>
    <x v="5"/>
    <x v="1"/>
    <n v="492"/>
  </r>
  <r>
    <d v="2018-02-05T00:00:00"/>
    <d v="2018-02-05T00:00:00"/>
    <d v="2018-02-05T00:00:00"/>
    <x v="0"/>
    <x v="1"/>
    <s v="NF7009"/>
    <n v="2074"/>
    <x v="6"/>
    <n v="2018"/>
    <x v="6"/>
    <x v="1"/>
    <x v="5"/>
    <x v="1"/>
    <n v="0"/>
  </r>
  <r>
    <d v="2018-02-06T00:00:00"/>
    <d v="2018-02-06T00:00:00"/>
    <d v="2018-02-06T00:00:00"/>
    <x v="0"/>
    <x v="1"/>
    <s v="NF7629"/>
    <n v="3606"/>
    <x v="6"/>
    <n v="2018"/>
    <x v="6"/>
    <x v="1"/>
    <x v="5"/>
    <x v="1"/>
    <n v="0"/>
  </r>
  <r>
    <d v="2018-03-18T00:00:00"/>
    <d v="2018-02-07T00:00:00"/>
    <d v="2018-03-18T00:00:00"/>
    <x v="0"/>
    <x v="2"/>
    <s v="NF2748"/>
    <n v="4867"/>
    <x v="7"/>
    <n v="2018"/>
    <x v="6"/>
    <x v="1"/>
    <x v="6"/>
    <x v="1"/>
    <n v="0"/>
  </r>
  <r>
    <d v="2018-03-16T00:00:00"/>
    <d v="2018-02-09T00:00:00"/>
    <d v="2018-03-16T00:00:00"/>
    <x v="0"/>
    <x v="3"/>
    <s v="NF5961"/>
    <n v="702"/>
    <x v="7"/>
    <n v="2018"/>
    <x v="6"/>
    <x v="1"/>
    <x v="6"/>
    <x v="1"/>
    <n v="0"/>
  </r>
  <r>
    <d v="2018-02-19T00:00:00"/>
    <d v="2018-02-14T00:00:00"/>
    <d v="2018-02-19T00:00:00"/>
    <x v="0"/>
    <x v="3"/>
    <s v="NF7680"/>
    <n v="2801"/>
    <x v="6"/>
    <n v="2018"/>
    <x v="6"/>
    <x v="1"/>
    <x v="5"/>
    <x v="1"/>
    <n v="0"/>
  </r>
  <r>
    <d v="2018-04-29T00:00:00"/>
    <d v="2018-02-15T00:00:00"/>
    <d v="2018-03-10T00:00:00"/>
    <x v="0"/>
    <x v="1"/>
    <s v="NF9629"/>
    <n v="4438"/>
    <x v="8"/>
    <n v="2018"/>
    <x v="6"/>
    <x v="1"/>
    <x v="6"/>
    <x v="1"/>
    <n v="50"/>
  </r>
  <r>
    <d v="2018-04-08T00:00:00"/>
    <d v="2018-02-20T00:00:00"/>
    <d v="2018-04-08T00:00:00"/>
    <x v="0"/>
    <x v="2"/>
    <s v="NF5978"/>
    <n v="3835"/>
    <x v="8"/>
    <n v="2018"/>
    <x v="6"/>
    <x v="1"/>
    <x v="7"/>
    <x v="1"/>
    <n v="0"/>
  </r>
  <r>
    <d v="2018-03-01T00:00:00"/>
    <d v="2018-03-01T00:00:00"/>
    <d v="2018-03-01T00:00:00"/>
    <x v="0"/>
    <x v="1"/>
    <s v="NF5651"/>
    <n v="3893"/>
    <x v="7"/>
    <n v="2018"/>
    <x v="7"/>
    <x v="1"/>
    <x v="6"/>
    <x v="1"/>
    <n v="0"/>
  </r>
  <r>
    <d v="2018-03-04T00:00:00"/>
    <d v="2018-03-04T00:00:00"/>
    <d v="2018-03-04T00:00:00"/>
    <x v="0"/>
    <x v="1"/>
    <s v="NF7772"/>
    <n v="1970"/>
    <x v="7"/>
    <n v="2018"/>
    <x v="7"/>
    <x v="1"/>
    <x v="6"/>
    <x v="1"/>
    <n v="0"/>
  </r>
  <r>
    <d v="2018-04-29T00:00:00"/>
    <d v="2018-03-05T00:00:00"/>
    <d v="2018-04-29T00:00:00"/>
    <x v="0"/>
    <x v="3"/>
    <s v="NF5401"/>
    <n v="729"/>
    <x v="8"/>
    <n v="2018"/>
    <x v="7"/>
    <x v="1"/>
    <x v="7"/>
    <x v="1"/>
    <n v="0"/>
  </r>
  <r>
    <d v="2018-03-29T00:00:00"/>
    <d v="2018-03-07T00:00:00"/>
    <d v="2018-03-29T00:00:00"/>
    <x v="0"/>
    <x v="2"/>
    <s v="NF9115"/>
    <n v="474"/>
    <x v="7"/>
    <n v="2018"/>
    <x v="7"/>
    <x v="1"/>
    <x v="6"/>
    <x v="1"/>
    <n v="0"/>
  </r>
  <r>
    <d v="2018-03-09T00:00:00"/>
    <d v="2018-03-09T00:00:00"/>
    <d v="2018-03-09T00:00:00"/>
    <x v="0"/>
    <x v="3"/>
    <s v="NF4115"/>
    <n v="3164"/>
    <x v="7"/>
    <n v="2018"/>
    <x v="7"/>
    <x v="1"/>
    <x v="6"/>
    <x v="1"/>
    <n v="0"/>
  </r>
  <r>
    <d v="2018-03-14T00:00:00"/>
    <d v="2018-03-14T00:00:00"/>
    <d v="2018-03-14T00:00:00"/>
    <x v="0"/>
    <x v="1"/>
    <s v="NF5683"/>
    <n v="3113"/>
    <x v="7"/>
    <n v="2018"/>
    <x v="7"/>
    <x v="1"/>
    <x v="6"/>
    <x v="1"/>
    <n v="0"/>
  </r>
  <r>
    <d v="2018-04-11T00:00:00"/>
    <d v="2018-03-17T00:00:00"/>
    <d v="2018-04-11T00:00:00"/>
    <x v="0"/>
    <x v="4"/>
    <s v="NF7027"/>
    <n v="789"/>
    <x v="8"/>
    <n v="2018"/>
    <x v="7"/>
    <x v="1"/>
    <x v="7"/>
    <x v="1"/>
    <n v="0"/>
  </r>
  <r>
    <d v="2018-06-21T00:00:00"/>
    <d v="2018-03-21T00:00:00"/>
    <d v="2018-04-01T00:00:00"/>
    <x v="0"/>
    <x v="4"/>
    <s v="NF7168"/>
    <n v="3521"/>
    <x v="9"/>
    <n v="2018"/>
    <x v="7"/>
    <x v="1"/>
    <x v="7"/>
    <x v="1"/>
    <n v="81"/>
  </r>
  <r>
    <d v="2018-03-28T00:00:00"/>
    <d v="2018-03-24T00:00:00"/>
    <d v="2018-03-28T00:00:00"/>
    <x v="0"/>
    <x v="1"/>
    <s v="NF4972"/>
    <n v="4947"/>
    <x v="7"/>
    <n v="2018"/>
    <x v="7"/>
    <x v="1"/>
    <x v="6"/>
    <x v="1"/>
    <n v="0"/>
  </r>
  <r>
    <d v="2018-03-25T00:00:00"/>
    <d v="2018-03-25T00:00:00"/>
    <d v="2018-03-25T00:00:00"/>
    <x v="0"/>
    <x v="4"/>
    <s v="NF7283"/>
    <n v="1527"/>
    <x v="7"/>
    <n v="2018"/>
    <x v="7"/>
    <x v="1"/>
    <x v="6"/>
    <x v="1"/>
    <n v="0"/>
  </r>
  <r>
    <d v="2018-05-14T00:00:00"/>
    <d v="2018-04-01T00:00:00"/>
    <d v="2018-05-14T00:00:00"/>
    <x v="0"/>
    <x v="4"/>
    <s v="NF6320"/>
    <n v="764"/>
    <x v="10"/>
    <n v="2018"/>
    <x v="8"/>
    <x v="1"/>
    <x v="8"/>
    <x v="1"/>
    <n v="0"/>
  </r>
  <r>
    <d v="2018-04-12T00:00:00"/>
    <d v="2018-04-03T00:00:00"/>
    <d v="2018-04-12T00:00:00"/>
    <x v="0"/>
    <x v="2"/>
    <s v="NF7850"/>
    <n v="2463"/>
    <x v="8"/>
    <n v="2018"/>
    <x v="8"/>
    <x v="1"/>
    <x v="7"/>
    <x v="1"/>
    <n v="0"/>
  </r>
  <r>
    <d v="2018-04-05T00:00:00"/>
    <d v="2018-04-05T00:00:00"/>
    <d v="2018-04-05T00:00:00"/>
    <x v="0"/>
    <x v="3"/>
    <s v="NF2420"/>
    <n v="2111"/>
    <x v="8"/>
    <n v="2018"/>
    <x v="8"/>
    <x v="1"/>
    <x v="7"/>
    <x v="1"/>
    <n v="0"/>
  </r>
  <r>
    <d v="2018-04-06T00:00:00"/>
    <d v="2018-04-06T00:00:00"/>
    <d v="2018-04-06T00:00:00"/>
    <x v="0"/>
    <x v="1"/>
    <s v="NF6764"/>
    <n v="1144"/>
    <x v="8"/>
    <n v="2018"/>
    <x v="8"/>
    <x v="1"/>
    <x v="7"/>
    <x v="1"/>
    <n v="0"/>
  </r>
  <r>
    <d v="2018-05-20T00:00:00"/>
    <d v="2018-04-10T00:00:00"/>
    <d v="2018-05-20T00:00:00"/>
    <x v="0"/>
    <x v="3"/>
    <s v="NF6382"/>
    <n v="597"/>
    <x v="10"/>
    <n v="2018"/>
    <x v="8"/>
    <x v="1"/>
    <x v="8"/>
    <x v="1"/>
    <n v="0"/>
  </r>
  <r>
    <d v="2018-04-16T00:00:00"/>
    <d v="2018-04-16T00:00:00"/>
    <d v="2018-04-16T00:00:00"/>
    <x v="0"/>
    <x v="1"/>
    <s v="NF8079"/>
    <n v="3445"/>
    <x v="8"/>
    <n v="2018"/>
    <x v="8"/>
    <x v="1"/>
    <x v="7"/>
    <x v="1"/>
    <n v="0"/>
  </r>
  <r>
    <s v=""/>
    <d v="2018-04-22T00:00:00"/>
    <d v="2018-05-02T00:00:00"/>
    <x v="0"/>
    <x v="4"/>
    <s v="NF2434"/>
    <n v="1996"/>
    <x v="2"/>
    <n v="0"/>
    <x v="8"/>
    <x v="1"/>
    <x v="8"/>
    <x v="1"/>
    <n v="405"/>
  </r>
  <r>
    <d v="2018-04-28T00:00:00"/>
    <d v="2018-04-28T00:00:00"/>
    <d v="2018-04-28T00:00:00"/>
    <x v="0"/>
    <x v="3"/>
    <s v="NF3230"/>
    <n v="1254"/>
    <x v="8"/>
    <n v="2018"/>
    <x v="8"/>
    <x v="1"/>
    <x v="7"/>
    <x v="1"/>
    <n v="0"/>
  </r>
  <r>
    <d v="2018-05-03T00:00:00"/>
    <d v="2018-04-29T00:00:00"/>
    <d v="2018-05-03T00:00:00"/>
    <x v="0"/>
    <x v="3"/>
    <s v="NF8847"/>
    <n v="905"/>
    <x v="10"/>
    <n v="2018"/>
    <x v="8"/>
    <x v="1"/>
    <x v="8"/>
    <x v="1"/>
    <n v="0"/>
  </r>
  <r>
    <s v=""/>
    <d v="2018-05-02T00:00:00"/>
    <d v="2018-05-31T00:00:00"/>
    <x v="0"/>
    <x v="2"/>
    <s v="NF8053"/>
    <n v="2975"/>
    <x v="2"/>
    <n v="0"/>
    <x v="9"/>
    <x v="1"/>
    <x v="8"/>
    <x v="1"/>
    <n v="376"/>
  </r>
  <r>
    <s v=""/>
    <d v="2018-05-03T00:00:00"/>
    <d v="2018-05-08T00:00:00"/>
    <x v="0"/>
    <x v="1"/>
    <s v="NF2454"/>
    <n v="4807"/>
    <x v="2"/>
    <n v="0"/>
    <x v="9"/>
    <x v="1"/>
    <x v="8"/>
    <x v="1"/>
    <n v="399"/>
  </r>
  <r>
    <d v="2018-06-13T00:00:00"/>
    <d v="2018-05-10T00:00:00"/>
    <d v="2018-06-13T00:00:00"/>
    <x v="0"/>
    <x v="4"/>
    <s v="NF8252"/>
    <n v="1882"/>
    <x v="9"/>
    <n v="2018"/>
    <x v="9"/>
    <x v="1"/>
    <x v="9"/>
    <x v="1"/>
    <n v="0"/>
  </r>
  <r>
    <d v="2018-06-27T00:00:00"/>
    <d v="2018-05-15T00:00:00"/>
    <d v="2018-06-27T00:00:00"/>
    <x v="0"/>
    <x v="0"/>
    <s v="NF6573"/>
    <n v="3932"/>
    <x v="9"/>
    <n v="2018"/>
    <x v="9"/>
    <x v="1"/>
    <x v="9"/>
    <x v="1"/>
    <n v="0"/>
  </r>
  <r>
    <d v="2018-05-18T00:00:00"/>
    <d v="2018-05-18T00:00:00"/>
    <d v="2018-05-18T00:00:00"/>
    <x v="0"/>
    <x v="1"/>
    <s v="NF8780"/>
    <n v="701"/>
    <x v="10"/>
    <n v="2018"/>
    <x v="9"/>
    <x v="1"/>
    <x v="8"/>
    <x v="1"/>
    <n v="0"/>
  </r>
  <r>
    <s v=""/>
    <d v="2018-05-19T00:00:00"/>
    <d v="2018-06-27T00:00:00"/>
    <x v="0"/>
    <x v="1"/>
    <s v="NF6166"/>
    <n v="2651"/>
    <x v="2"/>
    <n v="0"/>
    <x v="9"/>
    <x v="1"/>
    <x v="9"/>
    <x v="1"/>
    <n v="349"/>
  </r>
  <r>
    <d v="2018-07-01T00:00:00"/>
    <d v="2018-05-26T00:00:00"/>
    <d v="2018-07-01T00:00:00"/>
    <x v="0"/>
    <x v="1"/>
    <s v="NF8437"/>
    <n v="3792"/>
    <x v="11"/>
    <n v="2018"/>
    <x v="9"/>
    <x v="1"/>
    <x v="10"/>
    <x v="1"/>
    <n v="0"/>
  </r>
  <r>
    <d v="2018-07-25T00:00:00"/>
    <d v="2018-05-28T00:00:00"/>
    <d v="2018-07-25T00:00:00"/>
    <x v="0"/>
    <x v="0"/>
    <s v="NF6635"/>
    <n v="611"/>
    <x v="11"/>
    <n v="2018"/>
    <x v="9"/>
    <x v="1"/>
    <x v="10"/>
    <x v="1"/>
    <n v="0"/>
  </r>
  <r>
    <d v="2018-07-11T00:00:00"/>
    <d v="2018-05-31T00:00:00"/>
    <d v="2018-07-11T00:00:00"/>
    <x v="0"/>
    <x v="2"/>
    <s v="NF8734"/>
    <n v="3431"/>
    <x v="11"/>
    <n v="2018"/>
    <x v="9"/>
    <x v="1"/>
    <x v="10"/>
    <x v="1"/>
    <n v="0"/>
  </r>
  <r>
    <s v=""/>
    <d v="2018-06-02T00:00:00"/>
    <d v="2018-06-02T00:00:00"/>
    <x v="0"/>
    <x v="1"/>
    <s v="NF4208"/>
    <n v="3670"/>
    <x v="2"/>
    <n v="0"/>
    <x v="10"/>
    <x v="1"/>
    <x v="9"/>
    <x v="1"/>
    <n v="374"/>
  </r>
  <r>
    <d v="2018-06-08T00:00:00"/>
    <d v="2018-06-04T00:00:00"/>
    <d v="2018-06-08T00:00:00"/>
    <x v="0"/>
    <x v="1"/>
    <s v="NF4923"/>
    <n v="4320"/>
    <x v="9"/>
    <n v="2018"/>
    <x v="10"/>
    <x v="1"/>
    <x v="9"/>
    <x v="1"/>
    <n v="0"/>
  </r>
  <r>
    <d v="2018-06-05T00:00:00"/>
    <d v="2018-06-05T00:00:00"/>
    <d v="2018-06-05T00:00:00"/>
    <x v="0"/>
    <x v="2"/>
    <s v="NF6782"/>
    <n v="1809"/>
    <x v="9"/>
    <n v="2018"/>
    <x v="10"/>
    <x v="1"/>
    <x v="9"/>
    <x v="1"/>
    <n v="0"/>
  </r>
  <r>
    <d v="2018-07-25T00:00:00"/>
    <d v="2018-06-07T00:00:00"/>
    <d v="2018-07-25T00:00:00"/>
    <x v="0"/>
    <x v="1"/>
    <s v="NF6280"/>
    <n v="667"/>
    <x v="11"/>
    <n v="2018"/>
    <x v="10"/>
    <x v="1"/>
    <x v="10"/>
    <x v="1"/>
    <n v="0"/>
  </r>
  <r>
    <d v="2018-06-11T00:00:00"/>
    <d v="2018-06-11T00:00:00"/>
    <d v="2018-06-11T00:00:00"/>
    <x v="0"/>
    <x v="4"/>
    <s v="NF7827"/>
    <n v="1613"/>
    <x v="9"/>
    <n v="2018"/>
    <x v="10"/>
    <x v="1"/>
    <x v="9"/>
    <x v="1"/>
    <n v="0"/>
  </r>
  <r>
    <d v="2018-07-28T00:00:00"/>
    <d v="2018-06-17T00:00:00"/>
    <d v="2018-07-28T00:00:00"/>
    <x v="0"/>
    <x v="0"/>
    <s v="NF5357"/>
    <n v="3756"/>
    <x v="11"/>
    <n v="2018"/>
    <x v="10"/>
    <x v="1"/>
    <x v="10"/>
    <x v="1"/>
    <n v="0"/>
  </r>
  <r>
    <d v="2018-06-20T00:00:00"/>
    <d v="2018-06-20T00:00:00"/>
    <d v="2018-06-20T00:00:00"/>
    <x v="0"/>
    <x v="2"/>
    <s v="NF8188"/>
    <n v="3672"/>
    <x v="9"/>
    <n v="2018"/>
    <x v="10"/>
    <x v="1"/>
    <x v="9"/>
    <x v="1"/>
    <n v="0"/>
  </r>
  <r>
    <s v=""/>
    <d v="2018-06-26T00:00:00"/>
    <d v="2018-07-07T00:00:00"/>
    <x v="0"/>
    <x v="1"/>
    <s v="NF4640"/>
    <n v="658"/>
    <x v="2"/>
    <n v="0"/>
    <x v="10"/>
    <x v="1"/>
    <x v="10"/>
    <x v="1"/>
    <n v="339"/>
  </r>
  <r>
    <d v="2018-08-24T00:00:00"/>
    <d v="2018-06-29T00:00:00"/>
    <d v="2018-08-24T00:00:00"/>
    <x v="0"/>
    <x v="2"/>
    <s v="NF2293"/>
    <n v="4762"/>
    <x v="12"/>
    <n v="2018"/>
    <x v="10"/>
    <x v="1"/>
    <x v="11"/>
    <x v="1"/>
    <n v="0"/>
  </r>
  <r>
    <d v="2018-07-09T00:00:00"/>
    <d v="2018-07-02T00:00:00"/>
    <d v="2018-07-09T00:00:00"/>
    <x v="0"/>
    <x v="0"/>
    <s v="NF2933"/>
    <n v="2186"/>
    <x v="11"/>
    <n v="2018"/>
    <x v="11"/>
    <x v="1"/>
    <x v="10"/>
    <x v="1"/>
    <n v="0"/>
  </r>
  <r>
    <s v=""/>
    <d v="2018-07-03T00:00:00"/>
    <d v="2018-07-24T00:00:00"/>
    <x v="0"/>
    <x v="2"/>
    <s v="NF4384"/>
    <n v="3411"/>
    <x v="2"/>
    <n v="0"/>
    <x v="11"/>
    <x v="1"/>
    <x v="10"/>
    <x v="1"/>
    <n v="322"/>
  </r>
  <r>
    <d v="2018-07-24T00:00:00"/>
    <d v="2018-07-08T00:00:00"/>
    <d v="2018-07-24T00:00:00"/>
    <x v="0"/>
    <x v="2"/>
    <s v="NF8316"/>
    <n v="2524"/>
    <x v="11"/>
    <n v="2018"/>
    <x v="11"/>
    <x v="1"/>
    <x v="10"/>
    <x v="1"/>
    <n v="0"/>
  </r>
  <r>
    <d v="2018-08-01T00:00:00"/>
    <d v="2018-07-10T00:00:00"/>
    <d v="2018-08-01T00:00:00"/>
    <x v="0"/>
    <x v="0"/>
    <s v="NF1506"/>
    <n v="1709"/>
    <x v="12"/>
    <n v="2018"/>
    <x v="11"/>
    <x v="1"/>
    <x v="11"/>
    <x v="1"/>
    <n v="0"/>
  </r>
  <r>
    <d v="2018-07-15T00:00:00"/>
    <d v="2018-07-15T00:00:00"/>
    <d v="2018-07-15T00:00:00"/>
    <x v="0"/>
    <x v="1"/>
    <s v="NF4913"/>
    <n v="3181"/>
    <x v="11"/>
    <n v="2018"/>
    <x v="11"/>
    <x v="1"/>
    <x v="10"/>
    <x v="1"/>
    <n v="0"/>
  </r>
  <r>
    <d v="2018-09-07T00:00:00"/>
    <d v="2018-07-16T00:00:00"/>
    <d v="2018-07-16T00:00:00"/>
    <x v="0"/>
    <x v="3"/>
    <s v="NF8526"/>
    <n v="1108"/>
    <x v="1"/>
    <n v="2018"/>
    <x v="11"/>
    <x v="1"/>
    <x v="10"/>
    <x v="1"/>
    <n v="53"/>
  </r>
  <r>
    <s v=""/>
    <d v="2018-07-17T00:00:00"/>
    <d v="2018-07-17T00:00:00"/>
    <x v="0"/>
    <x v="1"/>
    <s v="NF9873"/>
    <n v="2777"/>
    <x v="2"/>
    <n v="0"/>
    <x v="11"/>
    <x v="1"/>
    <x v="10"/>
    <x v="1"/>
    <n v="329"/>
  </r>
  <r>
    <d v="2018-09-14T00:00:00"/>
    <d v="2018-07-19T00:00:00"/>
    <d v="2018-09-14T00:00:00"/>
    <x v="0"/>
    <x v="0"/>
    <s v="NF9870"/>
    <n v="3793"/>
    <x v="1"/>
    <n v="2018"/>
    <x v="11"/>
    <x v="1"/>
    <x v="1"/>
    <x v="1"/>
    <n v="0"/>
  </r>
  <r>
    <d v="2018-08-12T00:00:00"/>
    <d v="2018-07-21T00:00:00"/>
    <d v="2018-08-12T00:00:00"/>
    <x v="0"/>
    <x v="2"/>
    <s v="NF5563"/>
    <n v="4217"/>
    <x v="12"/>
    <n v="2018"/>
    <x v="11"/>
    <x v="1"/>
    <x v="11"/>
    <x v="1"/>
    <n v="0"/>
  </r>
  <r>
    <d v="2018-07-28T00:00:00"/>
    <d v="2018-07-28T00:00:00"/>
    <d v="2018-07-28T00:00:00"/>
    <x v="0"/>
    <x v="1"/>
    <s v="NF5510"/>
    <n v="4850"/>
    <x v="11"/>
    <n v="2018"/>
    <x v="11"/>
    <x v="1"/>
    <x v="10"/>
    <x v="1"/>
    <n v="0"/>
  </r>
  <r>
    <d v="2018-07-30T00:00:00"/>
    <d v="2018-07-30T00:00:00"/>
    <d v="2018-07-30T00:00:00"/>
    <x v="0"/>
    <x v="2"/>
    <s v="NF1440"/>
    <n v="4309"/>
    <x v="11"/>
    <n v="2018"/>
    <x v="11"/>
    <x v="1"/>
    <x v="10"/>
    <x v="1"/>
    <n v="0"/>
  </r>
  <r>
    <d v="2018-08-02T00:00:00"/>
    <d v="2018-08-01T00:00:00"/>
    <d v="2018-08-02T00:00:00"/>
    <x v="0"/>
    <x v="3"/>
    <s v="NF2709"/>
    <n v="4462"/>
    <x v="12"/>
    <n v="2018"/>
    <x v="0"/>
    <x v="1"/>
    <x v="11"/>
    <x v="1"/>
    <n v="0"/>
  </r>
  <r>
    <d v="2018-10-02T00:00:00"/>
    <d v="2018-08-07T00:00:00"/>
    <d v="2018-10-02T00:00:00"/>
    <x v="0"/>
    <x v="4"/>
    <s v="NF9886"/>
    <n v="4947"/>
    <x v="0"/>
    <n v="2018"/>
    <x v="0"/>
    <x v="1"/>
    <x v="0"/>
    <x v="1"/>
    <n v="0"/>
  </r>
  <r>
    <d v="2018-09-25T00:00:00"/>
    <d v="2018-08-10T00:00:00"/>
    <d v="2018-09-25T00:00:00"/>
    <x v="0"/>
    <x v="0"/>
    <s v="NF6993"/>
    <n v="902"/>
    <x v="1"/>
    <n v="2018"/>
    <x v="0"/>
    <x v="1"/>
    <x v="1"/>
    <x v="1"/>
    <n v="0"/>
  </r>
  <r>
    <d v="2018-09-23T00:00:00"/>
    <d v="2018-08-12T00:00:00"/>
    <d v="2018-09-23T00:00:00"/>
    <x v="0"/>
    <x v="4"/>
    <s v="NF9126"/>
    <n v="432"/>
    <x v="1"/>
    <n v="2018"/>
    <x v="0"/>
    <x v="1"/>
    <x v="1"/>
    <x v="1"/>
    <n v="0"/>
  </r>
  <r>
    <d v="2018-09-13T00:00:00"/>
    <d v="2018-08-15T00:00:00"/>
    <d v="2018-09-13T00:00:00"/>
    <x v="0"/>
    <x v="2"/>
    <s v="NF3531"/>
    <n v="4084"/>
    <x v="1"/>
    <n v="2018"/>
    <x v="0"/>
    <x v="1"/>
    <x v="1"/>
    <x v="1"/>
    <n v="0"/>
  </r>
  <r>
    <d v="2018-09-16T00:00:00"/>
    <d v="2018-08-22T00:00:00"/>
    <d v="2018-09-16T00:00:00"/>
    <x v="0"/>
    <x v="1"/>
    <s v="NF6599"/>
    <n v="1054"/>
    <x v="1"/>
    <n v="2018"/>
    <x v="0"/>
    <x v="1"/>
    <x v="1"/>
    <x v="1"/>
    <n v="0"/>
  </r>
  <r>
    <d v="2018-09-09T00:00:00"/>
    <d v="2018-08-23T00:00:00"/>
    <d v="2018-09-09T00:00:00"/>
    <x v="0"/>
    <x v="4"/>
    <s v="NF9323"/>
    <n v="4608"/>
    <x v="1"/>
    <n v="2018"/>
    <x v="0"/>
    <x v="1"/>
    <x v="1"/>
    <x v="1"/>
    <n v="0"/>
  </r>
  <r>
    <d v="2018-08-28T00:00:00"/>
    <d v="2018-08-28T00:00:00"/>
    <d v="2018-08-28T00:00:00"/>
    <x v="0"/>
    <x v="0"/>
    <s v="NF3529"/>
    <n v="1238"/>
    <x v="12"/>
    <n v="2018"/>
    <x v="0"/>
    <x v="1"/>
    <x v="11"/>
    <x v="1"/>
    <n v="0"/>
  </r>
  <r>
    <d v="2018-09-27T00:00:00"/>
    <d v="2018-09-03T00:00:00"/>
    <d v="2018-09-27T00:00:00"/>
    <x v="0"/>
    <x v="1"/>
    <s v="NF5824"/>
    <n v="1342"/>
    <x v="1"/>
    <n v="2018"/>
    <x v="1"/>
    <x v="1"/>
    <x v="1"/>
    <x v="1"/>
    <n v="0"/>
  </r>
  <r>
    <d v="2018-10-29T00:00:00"/>
    <d v="2018-09-07T00:00:00"/>
    <d v="2018-10-29T00:00:00"/>
    <x v="0"/>
    <x v="4"/>
    <s v="NF3860"/>
    <n v="2936"/>
    <x v="0"/>
    <n v="2018"/>
    <x v="1"/>
    <x v="1"/>
    <x v="0"/>
    <x v="1"/>
    <n v="0"/>
  </r>
  <r>
    <d v="2018-10-08T00:00:00"/>
    <d v="2018-09-08T00:00:00"/>
    <d v="2018-10-08T00:00:00"/>
    <x v="0"/>
    <x v="1"/>
    <s v="NF7260"/>
    <n v="875"/>
    <x v="0"/>
    <n v="2018"/>
    <x v="1"/>
    <x v="1"/>
    <x v="0"/>
    <x v="1"/>
    <n v="0"/>
  </r>
  <r>
    <s v=""/>
    <d v="2018-09-10T00:00:00"/>
    <d v="2018-09-10T00:00:00"/>
    <x v="0"/>
    <x v="3"/>
    <s v="NF2238"/>
    <n v="159"/>
    <x v="2"/>
    <n v="0"/>
    <x v="1"/>
    <x v="1"/>
    <x v="1"/>
    <x v="1"/>
    <n v="274"/>
  </r>
  <r>
    <s v=""/>
    <d v="2018-09-15T00:00:00"/>
    <d v="2018-09-15T00:00:00"/>
    <x v="0"/>
    <x v="1"/>
    <s v="NF7342"/>
    <n v="2933"/>
    <x v="2"/>
    <n v="0"/>
    <x v="1"/>
    <x v="1"/>
    <x v="1"/>
    <x v="1"/>
    <n v="269"/>
  </r>
  <r>
    <d v="2018-11-01T00:00:00"/>
    <d v="2018-09-15T00:00:00"/>
    <d v="2018-11-01T00:00:00"/>
    <x v="0"/>
    <x v="1"/>
    <s v="NF8517"/>
    <n v="4944"/>
    <x v="3"/>
    <n v="2018"/>
    <x v="1"/>
    <x v="1"/>
    <x v="2"/>
    <x v="1"/>
    <n v="0"/>
  </r>
  <r>
    <d v="2018-10-04T00:00:00"/>
    <d v="2018-09-19T00:00:00"/>
    <d v="2018-10-04T00:00:00"/>
    <x v="0"/>
    <x v="0"/>
    <s v="NF9366"/>
    <n v="4173"/>
    <x v="0"/>
    <n v="2018"/>
    <x v="1"/>
    <x v="1"/>
    <x v="0"/>
    <x v="1"/>
    <n v="0"/>
  </r>
  <r>
    <d v="2018-10-02T00:00:00"/>
    <d v="2018-09-24T00:00:00"/>
    <d v="2018-10-02T00:00:00"/>
    <x v="0"/>
    <x v="4"/>
    <s v="NF4973"/>
    <n v="2065"/>
    <x v="0"/>
    <n v="2018"/>
    <x v="1"/>
    <x v="1"/>
    <x v="0"/>
    <x v="1"/>
    <n v="0"/>
  </r>
  <r>
    <d v="2018-11-18T00:00:00"/>
    <d v="2018-09-28T00:00:00"/>
    <d v="2018-11-18T00:00:00"/>
    <x v="0"/>
    <x v="2"/>
    <s v="NF1111"/>
    <n v="521"/>
    <x v="3"/>
    <n v="2018"/>
    <x v="1"/>
    <x v="1"/>
    <x v="2"/>
    <x v="1"/>
    <n v="0"/>
  </r>
  <r>
    <s v=""/>
    <d v="2018-10-01T00:00:00"/>
    <d v="2018-11-13T00:00:00"/>
    <x v="0"/>
    <x v="2"/>
    <s v="NF8344"/>
    <n v="819"/>
    <x v="2"/>
    <n v="0"/>
    <x v="2"/>
    <x v="1"/>
    <x v="2"/>
    <x v="1"/>
    <n v="210"/>
  </r>
  <r>
    <d v="2018-10-04T00:00:00"/>
    <d v="2018-10-04T00:00:00"/>
    <d v="2018-10-04T00:00:00"/>
    <x v="0"/>
    <x v="0"/>
    <s v="NF8750"/>
    <n v="1260"/>
    <x v="0"/>
    <n v="2018"/>
    <x v="2"/>
    <x v="1"/>
    <x v="0"/>
    <x v="1"/>
    <n v="0"/>
  </r>
  <r>
    <d v="2018-10-16T00:00:00"/>
    <d v="2018-10-10T00:00:00"/>
    <d v="2018-10-16T00:00:00"/>
    <x v="0"/>
    <x v="4"/>
    <s v="NF7616"/>
    <n v="2998"/>
    <x v="0"/>
    <n v="2018"/>
    <x v="2"/>
    <x v="1"/>
    <x v="0"/>
    <x v="1"/>
    <n v="0"/>
  </r>
  <r>
    <d v="2019-01-03T00:00:00"/>
    <d v="2018-10-12T00:00:00"/>
    <d v="2018-10-31T00:00:00"/>
    <x v="0"/>
    <x v="4"/>
    <s v="NF3536"/>
    <n v="4287"/>
    <x v="5"/>
    <n v="2019"/>
    <x v="2"/>
    <x v="1"/>
    <x v="0"/>
    <x v="1"/>
    <n v="64"/>
  </r>
  <r>
    <d v="2018-12-14T00:00:00"/>
    <d v="2018-10-14T00:00:00"/>
    <d v="2018-10-14T00:00:00"/>
    <x v="0"/>
    <x v="3"/>
    <s v="NF9376"/>
    <n v="2015"/>
    <x v="4"/>
    <n v="2018"/>
    <x v="2"/>
    <x v="1"/>
    <x v="0"/>
    <x v="1"/>
    <n v="61"/>
  </r>
  <r>
    <d v="2018-12-15T00:00:00"/>
    <d v="2018-10-20T00:00:00"/>
    <d v="2018-12-15T00:00:00"/>
    <x v="0"/>
    <x v="3"/>
    <s v="NF1222"/>
    <n v="3369"/>
    <x v="4"/>
    <n v="2018"/>
    <x v="2"/>
    <x v="1"/>
    <x v="3"/>
    <x v="1"/>
    <n v="0"/>
  </r>
  <r>
    <d v="2018-10-21T00:00:00"/>
    <d v="2018-10-21T00:00:00"/>
    <d v="2018-10-21T00:00:00"/>
    <x v="0"/>
    <x v="1"/>
    <s v="NF3914"/>
    <n v="4851"/>
    <x v="0"/>
    <n v="2018"/>
    <x v="2"/>
    <x v="1"/>
    <x v="0"/>
    <x v="1"/>
    <n v="0"/>
  </r>
  <r>
    <d v="2018-12-15T00:00:00"/>
    <d v="2018-10-25T00:00:00"/>
    <d v="2018-12-15T00:00:00"/>
    <x v="0"/>
    <x v="1"/>
    <s v="NF7447"/>
    <n v="2178"/>
    <x v="4"/>
    <n v="2018"/>
    <x v="2"/>
    <x v="1"/>
    <x v="3"/>
    <x v="1"/>
    <n v="0"/>
  </r>
  <r>
    <d v="2018-11-20T00:00:00"/>
    <d v="2018-10-27T00:00:00"/>
    <d v="2018-11-20T00:00:00"/>
    <x v="0"/>
    <x v="3"/>
    <s v="NF5088"/>
    <n v="4052"/>
    <x v="3"/>
    <n v="2018"/>
    <x v="2"/>
    <x v="1"/>
    <x v="2"/>
    <x v="1"/>
    <n v="0"/>
  </r>
  <r>
    <d v="2018-10-30T00:00:00"/>
    <d v="2018-10-30T00:00:00"/>
    <d v="2018-10-30T00:00:00"/>
    <x v="0"/>
    <x v="4"/>
    <s v="NF7858"/>
    <n v="2864"/>
    <x v="0"/>
    <n v="2018"/>
    <x v="2"/>
    <x v="1"/>
    <x v="0"/>
    <x v="1"/>
    <n v="0"/>
  </r>
  <r>
    <d v="2018-12-27T00:00:00"/>
    <d v="2018-11-01T00:00:00"/>
    <d v="2018-12-27T00:00:00"/>
    <x v="0"/>
    <x v="1"/>
    <s v="NF7692"/>
    <n v="2425"/>
    <x v="4"/>
    <n v="2018"/>
    <x v="3"/>
    <x v="1"/>
    <x v="3"/>
    <x v="1"/>
    <n v="0"/>
  </r>
  <r>
    <d v="2019-01-01T00:00:00"/>
    <d v="2018-11-03T00:00:00"/>
    <d v="2019-01-01T00:00:00"/>
    <x v="0"/>
    <x v="4"/>
    <s v="NF7390"/>
    <n v="1542"/>
    <x v="5"/>
    <n v="2019"/>
    <x v="3"/>
    <x v="1"/>
    <x v="4"/>
    <x v="2"/>
    <n v="0"/>
  </r>
  <r>
    <d v="2018-12-12T00:00:00"/>
    <d v="2018-11-08T00:00:00"/>
    <d v="2018-12-12T00:00:00"/>
    <x v="0"/>
    <x v="1"/>
    <s v="NF6262"/>
    <n v="1736"/>
    <x v="4"/>
    <n v="2018"/>
    <x v="3"/>
    <x v="1"/>
    <x v="3"/>
    <x v="1"/>
    <n v="0"/>
  </r>
  <r>
    <d v="2019-01-20T00:00:00"/>
    <d v="2018-11-11T00:00:00"/>
    <d v="2019-01-09T00:00:00"/>
    <x v="0"/>
    <x v="2"/>
    <s v="NF9573"/>
    <n v="1628"/>
    <x v="5"/>
    <n v="2019"/>
    <x v="3"/>
    <x v="1"/>
    <x v="4"/>
    <x v="2"/>
    <n v="11"/>
  </r>
  <r>
    <s v=""/>
    <d v="2018-11-13T00:00:00"/>
    <d v="2018-11-13T00:00:00"/>
    <x v="0"/>
    <x v="1"/>
    <s v="NF8087"/>
    <n v="3853"/>
    <x v="2"/>
    <n v="0"/>
    <x v="3"/>
    <x v="1"/>
    <x v="2"/>
    <x v="1"/>
    <n v="210"/>
  </r>
  <r>
    <d v="2018-12-17T00:00:00"/>
    <d v="2018-11-17T00:00:00"/>
    <d v="2018-12-17T00:00:00"/>
    <x v="0"/>
    <x v="2"/>
    <s v="NF5909"/>
    <n v="883"/>
    <x v="4"/>
    <n v="2018"/>
    <x v="3"/>
    <x v="1"/>
    <x v="3"/>
    <x v="1"/>
    <n v="0"/>
  </r>
  <r>
    <d v="2018-11-27T00:00:00"/>
    <d v="2018-11-17T00:00:00"/>
    <d v="2018-11-17T00:00:00"/>
    <x v="0"/>
    <x v="1"/>
    <s v="NF4172"/>
    <n v="976"/>
    <x v="3"/>
    <n v="2018"/>
    <x v="3"/>
    <x v="1"/>
    <x v="2"/>
    <x v="1"/>
    <n v="10"/>
  </r>
  <r>
    <d v="2018-11-20T00:00:00"/>
    <d v="2018-11-20T00:00:00"/>
    <d v="2018-11-20T00:00:00"/>
    <x v="0"/>
    <x v="2"/>
    <s v="NF8957"/>
    <n v="2663"/>
    <x v="3"/>
    <n v="2018"/>
    <x v="3"/>
    <x v="1"/>
    <x v="2"/>
    <x v="1"/>
    <n v="0"/>
  </r>
  <r>
    <d v="2018-11-26T00:00:00"/>
    <d v="2018-11-26T00:00:00"/>
    <d v="2018-11-26T00:00:00"/>
    <x v="0"/>
    <x v="1"/>
    <s v="NF2981"/>
    <n v="4888"/>
    <x v="3"/>
    <n v="2018"/>
    <x v="3"/>
    <x v="1"/>
    <x v="2"/>
    <x v="1"/>
    <n v="0"/>
  </r>
  <r>
    <d v="2018-11-29T00:00:00"/>
    <d v="2018-11-29T00:00:00"/>
    <d v="2018-11-29T00:00:00"/>
    <x v="0"/>
    <x v="2"/>
    <s v="NF5104"/>
    <n v="2030"/>
    <x v="3"/>
    <n v="2018"/>
    <x v="3"/>
    <x v="1"/>
    <x v="2"/>
    <x v="1"/>
    <n v="0"/>
  </r>
  <r>
    <d v="2019-01-20T00:00:00"/>
    <d v="2018-12-02T00:00:00"/>
    <d v="2019-01-20T00:00:00"/>
    <x v="0"/>
    <x v="1"/>
    <s v="NF3942"/>
    <n v="2117"/>
    <x v="5"/>
    <n v="2019"/>
    <x v="4"/>
    <x v="1"/>
    <x v="4"/>
    <x v="2"/>
    <n v="0"/>
  </r>
  <r>
    <d v="2019-01-29T00:00:00"/>
    <d v="2018-12-04T00:00:00"/>
    <d v="2019-01-29T00:00:00"/>
    <x v="0"/>
    <x v="1"/>
    <s v="NF6376"/>
    <n v="1236"/>
    <x v="5"/>
    <n v="2019"/>
    <x v="4"/>
    <x v="1"/>
    <x v="4"/>
    <x v="2"/>
    <n v="0"/>
  </r>
  <r>
    <d v="2018-12-31T00:00:00"/>
    <d v="2018-12-09T00:00:00"/>
    <d v="2018-12-31T00:00:00"/>
    <x v="0"/>
    <x v="1"/>
    <s v="NF7518"/>
    <n v="426"/>
    <x v="4"/>
    <n v="2018"/>
    <x v="4"/>
    <x v="1"/>
    <x v="3"/>
    <x v="1"/>
    <n v="0"/>
  </r>
  <r>
    <d v="2018-12-10T00:00:00"/>
    <d v="2018-12-10T00:00:00"/>
    <d v="2018-12-10T00:00:00"/>
    <x v="0"/>
    <x v="4"/>
    <s v="NF5359"/>
    <n v="3956"/>
    <x v="4"/>
    <n v="2018"/>
    <x v="4"/>
    <x v="1"/>
    <x v="3"/>
    <x v="1"/>
    <n v="0"/>
  </r>
  <r>
    <s v=""/>
    <d v="2018-12-14T00:00:00"/>
    <d v="2019-01-15T00:00:00"/>
    <x v="0"/>
    <x v="1"/>
    <s v="NF5153"/>
    <n v="3042"/>
    <x v="2"/>
    <n v="0"/>
    <x v="4"/>
    <x v="1"/>
    <x v="4"/>
    <x v="2"/>
    <n v="147"/>
  </r>
  <r>
    <d v="2018-12-15T00:00:00"/>
    <d v="2018-12-15T00:00:00"/>
    <d v="2018-12-15T00:00:00"/>
    <x v="0"/>
    <x v="1"/>
    <s v="NF3127"/>
    <n v="1434"/>
    <x v="4"/>
    <n v="2018"/>
    <x v="4"/>
    <x v="1"/>
    <x v="3"/>
    <x v="1"/>
    <n v="0"/>
  </r>
  <r>
    <d v="2019-01-22T00:00:00"/>
    <d v="2018-12-18T00:00:00"/>
    <d v="2019-01-22T00:00:00"/>
    <x v="0"/>
    <x v="0"/>
    <s v="NF7641"/>
    <n v="1782"/>
    <x v="5"/>
    <n v="2019"/>
    <x v="4"/>
    <x v="1"/>
    <x v="4"/>
    <x v="2"/>
    <n v="0"/>
  </r>
  <r>
    <d v="2019-02-18T00:00:00"/>
    <d v="2018-12-25T00:00:00"/>
    <d v="2019-02-18T00:00:00"/>
    <x v="0"/>
    <x v="1"/>
    <s v="NF2758"/>
    <n v="365"/>
    <x v="6"/>
    <n v="2019"/>
    <x v="4"/>
    <x v="1"/>
    <x v="5"/>
    <x v="2"/>
    <n v="0"/>
  </r>
  <r>
    <d v="2019-01-26T00:00:00"/>
    <d v="2018-12-27T00:00:00"/>
    <d v="2019-01-26T00:00:00"/>
    <x v="0"/>
    <x v="1"/>
    <s v="NF9279"/>
    <n v="2757"/>
    <x v="5"/>
    <n v="2019"/>
    <x v="4"/>
    <x v="1"/>
    <x v="4"/>
    <x v="2"/>
    <n v="0"/>
  </r>
  <r>
    <d v="2019-02-19T00:00:00"/>
    <d v="2018-12-30T00:00:00"/>
    <d v="2019-02-19T00:00:00"/>
    <x v="0"/>
    <x v="0"/>
    <s v="NF2386"/>
    <n v="2112"/>
    <x v="6"/>
    <n v="2019"/>
    <x v="4"/>
    <x v="1"/>
    <x v="5"/>
    <x v="2"/>
    <n v="0"/>
  </r>
  <r>
    <d v="2019-01-02T00:00:00"/>
    <d v="2019-01-02T00:00:00"/>
    <d v="2019-01-02T00:00:00"/>
    <x v="0"/>
    <x v="0"/>
    <s v="NF6751"/>
    <n v="2190"/>
    <x v="5"/>
    <n v="2019"/>
    <x v="5"/>
    <x v="2"/>
    <x v="4"/>
    <x v="2"/>
    <n v="0"/>
  </r>
  <r>
    <d v="2019-01-20T00:00:00"/>
    <d v="2019-01-04T00:00:00"/>
    <d v="2019-01-20T00:00:00"/>
    <x v="0"/>
    <x v="1"/>
    <s v="NF9460"/>
    <n v="2998"/>
    <x v="5"/>
    <n v="2019"/>
    <x v="5"/>
    <x v="2"/>
    <x v="4"/>
    <x v="2"/>
    <n v="0"/>
  </r>
  <r>
    <d v="2019-02-05T00:00:00"/>
    <d v="2019-01-11T00:00:00"/>
    <d v="2019-02-05T00:00:00"/>
    <x v="0"/>
    <x v="1"/>
    <s v="NF5556"/>
    <n v="3808"/>
    <x v="6"/>
    <n v="2019"/>
    <x v="5"/>
    <x v="2"/>
    <x v="5"/>
    <x v="2"/>
    <n v="0"/>
  </r>
  <r>
    <d v="2019-04-14T00:00:00"/>
    <d v="2019-01-14T00:00:00"/>
    <d v="2019-01-30T00:00:00"/>
    <x v="0"/>
    <x v="1"/>
    <s v="NF4918"/>
    <n v="4928"/>
    <x v="8"/>
    <n v="2019"/>
    <x v="5"/>
    <x v="2"/>
    <x v="4"/>
    <x v="2"/>
    <n v="74"/>
  </r>
  <r>
    <d v="2019-01-17T00:00:00"/>
    <d v="2019-01-17T00:00:00"/>
    <d v="2019-01-17T00:00:00"/>
    <x v="0"/>
    <x v="0"/>
    <s v="NF1763"/>
    <n v="4179"/>
    <x v="5"/>
    <n v="2019"/>
    <x v="5"/>
    <x v="2"/>
    <x v="4"/>
    <x v="2"/>
    <n v="0"/>
  </r>
  <r>
    <d v="2019-02-03T00:00:00"/>
    <d v="2019-01-19T00:00:00"/>
    <d v="2019-02-03T00:00:00"/>
    <x v="0"/>
    <x v="4"/>
    <s v="NF2024"/>
    <n v="4896"/>
    <x v="6"/>
    <n v="2019"/>
    <x v="5"/>
    <x v="2"/>
    <x v="5"/>
    <x v="2"/>
    <n v="0"/>
  </r>
  <r>
    <d v="2019-01-22T00:00:00"/>
    <d v="2019-01-22T00:00:00"/>
    <d v="2019-01-22T00:00:00"/>
    <x v="0"/>
    <x v="0"/>
    <s v="NF8079"/>
    <n v="4092"/>
    <x v="5"/>
    <n v="2019"/>
    <x v="5"/>
    <x v="2"/>
    <x v="4"/>
    <x v="2"/>
    <n v="0"/>
  </r>
  <r>
    <d v="2019-01-27T00:00:00"/>
    <d v="2019-01-27T00:00:00"/>
    <d v="2019-01-27T00:00:00"/>
    <x v="0"/>
    <x v="1"/>
    <s v="NF6383"/>
    <n v="2956"/>
    <x v="5"/>
    <n v="2019"/>
    <x v="5"/>
    <x v="2"/>
    <x v="4"/>
    <x v="2"/>
    <n v="0"/>
  </r>
  <r>
    <s v=""/>
    <d v="2019-01-31T00:00:00"/>
    <d v="2019-02-13T00:00:00"/>
    <x v="0"/>
    <x v="0"/>
    <s v="NF3919"/>
    <n v="533"/>
    <x v="2"/>
    <n v="0"/>
    <x v="5"/>
    <x v="2"/>
    <x v="5"/>
    <x v="2"/>
    <n v="118"/>
  </r>
  <r>
    <d v="2019-02-24T00:00:00"/>
    <d v="2019-02-01T00:00:00"/>
    <d v="2019-02-24T00:00:00"/>
    <x v="0"/>
    <x v="2"/>
    <s v="NF1390"/>
    <n v="3519"/>
    <x v="6"/>
    <n v="2019"/>
    <x v="6"/>
    <x v="2"/>
    <x v="5"/>
    <x v="2"/>
    <n v="0"/>
  </r>
  <r>
    <d v="2019-02-03T00:00:00"/>
    <d v="2019-02-03T00:00:00"/>
    <d v="2019-02-03T00:00:00"/>
    <x v="0"/>
    <x v="4"/>
    <s v="NF2500"/>
    <n v="757"/>
    <x v="6"/>
    <n v="2019"/>
    <x v="6"/>
    <x v="2"/>
    <x v="5"/>
    <x v="2"/>
    <n v="0"/>
  </r>
  <r>
    <s v=""/>
    <d v="2019-02-07T00:00:00"/>
    <d v="2019-02-07T00:00:00"/>
    <x v="0"/>
    <x v="1"/>
    <s v="NF2427"/>
    <n v="2688"/>
    <x v="2"/>
    <n v="0"/>
    <x v="6"/>
    <x v="2"/>
    <x v="5"/>
    <x v="2"/>
    <n v="124"/>
  </r>
  <r>
    <d v="2019-02-09T00:00:00"/>
    <d v="2019-02-09T00:00:00"/>
    <d v="2019-02-09T00:00:00"/>
    <x v="0"/>
    <x v="3"/>
    <s v="NF4680"/>
    <n v="340"/>
    <x v="6"/>
    <n v="2019"/>
    <x v="6"/>
    <x v="2"/>
    <x v="5"/>
    <x v="2"/>
    <n v="0"/>
  </r>
  <r>
    <d v="2019-02-12T00:00:00"/>
    <d v="2019-02-10T00:00:00"/>
    <d v="2019-02-12T00:00:00"/>
    <x v="0"/>
    <x v="3"/>
    <s v="NF7019"/>
    <n v="4204"/>
    <x v="6"/>
    <n v="2019"/>
    <x v="6"/>
    <x v="2"/>
    <x v="5"/>
    <x v="2"/>
    <n v="0"/>
  </r>
  <r>
    <d v="2019-03-31T00:00:00"/>
    <d v="2019-02-12T00:00:00"/>
    <d v="2019-03-31T00:00:00"/>
    <x v="0"/>
    <x v="2"/>
    <s v="NF4961"/>
    <n v="3695"/>
    <x v="7"/>
    <n v="2019"/>
    <x v="6"/>
    <x v="2"/>
    <x v="6"/>
    <x v="2"/>
    <n v="0"/>
  </r>
  <r>
    <d v="2019-02-21T00:00:00"/>
    <d v="2019-02-21T00:00:00"/>
    <d v="2019-02-21T00:00:00"/>
    <x v="0"/>
    <x v="0"/>
    <s v="NF4608"/>
    <n v="4148"/>
    <x v="6"/>
    <n v="2019"/>
    <x v="6"/>
    <x v="2"/>
    <x v="5"/>
    <x v="2"/>
    <n v="0"/>
  </r>
  <r>
    <s v=""/>
    <d v="2019-02-25T00:00:00"/>
    <d v="2019-02-25T00:00:00"/>
    <x v="0"/>
    <x v="1"/>
    <s v="NF1913"/>
    <n v="4303"/>
    <x v="2"/>
    <n v="0"/>
    <x v="6"/>
    <x v="2"/>
    <x v="5"/>
    <x v="2"/>
    <n v="106"/>
  </r>
  <r>
    <d v="2019-03-07T00:00:00"/>
    <d v="2019-02-27T00:00:00"/>
    <d v="2019-03-07T00:00:00"/>
    <x v="0"/>
    <x v="3"/>
    <s v="NF5844"/>
    <n v="2674"/>
    <x v="7"/>
    <n v="2019"/>
    <x v="6"/>
    <x v="2"/>
    <x v="6"/>
    <x v="2"/>
    <n v="0"/>
  </r>
  <r>
    <d v="2019-04-14T00:00:00"/>
    <d v="2019-03-02T00:00:00"/>
    <d v="2019-04-14T00:00:00"/>
    <x v="0"/>
    <x v="4"/>
    <s v="NF7813"/>
    <n v="1720"/>
    <x v="8"/>
    <n v="2019"/>
    <x v="7"/>
    <x v="2"/>
    <x v="7"/>
    <x v="2"/>
    <n v="0"/>
  </r>
  <r>
    <d v="2019-04-12T00:00:00"/>
    <d v="2019-03-06T00:00:00"/>
    <d v="2019-04-12T00:00:00"/>
    <x v="0"/>
    <x v="4"/>
    <s v="NF6780"/>
    <n v="1854"/>
    <x v="8"/>
    <n v="2019"/>
    <x v="7"/>
    <x v="2"/>
    <x v="7"/>
    <x v="2"/>
    <n v="0"/>
  </r>
  <r>
    <d v="2019-03-08T00:00:00"/>
    <d v="2019-03-08T00:00:00"/>
    <d v="2019-03-08T00:00:00"/>
    <x v="0"/>
    <x v="1"/>
    <s v="NF9599"/>
    <n v="2568"/>
    <x v="7"/>
    <n v="2019"/>
    <x v="7"/>
    <x v="2"/>
    <x v="6"/>
    <x v="2"/>
    <n v="0"/>
  </r>
  <r>
    <s v=""/>
    <d v="2019-03-08T00:00:00"/>
    <d v="2019-04-17T00:00:00"/>
    <x v="0"/>
    <x v="1"/>
    <s v="NF8659"/>
    <n v="3690"/>
    <x v="2"/>
    <n v="0"/>
    <x v="7"/>
    <x v="2"/>
    <x v="7"/>
    <x v="2"/>
    <n v="55"/>
  </r>
  <r>
    <d v="2019-04-15T00:00:00"/>
    <d v="2019-03-10T00:00:00"/>
    <d v="2019-04-15T00:00:00"/>
    <x v="0"/>
    <x v="0"/>
    <s v="NF4652"/>
    <n v="3746"/>
    <x v="8"/>
    <n v="2019"/>
    <x v="7"/>
    <x v="2"/>
    <x v="7"/>
    <x v="2"/>
    <n v="0"/>
  </r>
  <r>
    <d v="2019-03-12T00:00:00"/>
    <d v="2019-03-12T00:00:00"/>
    <d v="2019-03-12T00:00:00"/>
    <x v="0"/>
    <x v="4"/>
    <s v="NF3068"/>
    <n v="4360"/>
    <x v="7"/>
    <n v="2019"/>
    <x v="7"/>
    <x v="2"/>
    <x v="6"/>
    <x v="2"/>
    <n v="0"/>
  </r>
  <r>
    <d v="2019-04-21T00:00:00"/>
    <d v="2019-03-13T00:00:00"/>
    <d v="2019-04-21T00:00:00"/>
    <x v="0"/>
    <x v="0"/>
    <s v="NF7141"/>
    <n v="1753"/>
    <x v="8"/>
    <n v="2019"/>
    <x v="7"/>
    <x v="2"/>
    <x v="7"/>
    <x v="2"/>
    <n v="0"/>
  </r>
  <r>
    <d v="2019-03-19T00:00:00"/>
    <d v="2019-03-16T00:00:00"/>
    <d v="2019-03-19T00:00:00"/>
    <x v="0"/>
    <x v="4"/>
    <s v="NF3366"/>
    <n v="1421"/>
    <x v="7"/>
    <n v="2019"/>
    <x v="7"/>
    <x v="2"/>
    <x v="6"/>
    <x v="2"/>
    <n v="0"/>
  </r>
  <r>
    <d v="2019-03-19T00:00:00"/>
    <d v="2019-03-19T00:00:00"/>
    <d v="2019-03-19T00:00:00"/>
    <x v="0"/>
    <x v="0"/>
    <s v="NF8853"/>
    <n v="3565"/>
    <x v="7"/>
    <n v="2019"/>
    <x v="7"/>
    <x v="2"/>
    <x v="6"/>
    <x v="2"/>
    <n v="0"/>
  </r>
  <r>
    <d v="2019-05-01T00:00:00"/>
    <d v="2019-03-22T00:00:00"/>
    <d v="2019-05-01T00:00:00"/>
    <x v="0"/>
    <x v="1"/>
    <s v="NF7681"/>
    <n v="1961"/>
    <x v="10"/>
    <n v="2019"/>
    <x v="7"/>
    <x v="2"/>
    <x v="8"/>
    <x v="2"/>
    <n v="0"/>
  </r>
  <r>
    <d v="2019-03-27T00:00:00"/>
    <d v="2019-03-27T00:00:00"/>
    <d v="2019-03-27T00:00:00"/>
    <x v="0"/>
    <x v="3"/>
    <s v="NF1441"/>
    <n v="4854"/>
    <x v="7"/>
    <n v="2019"/>
    <x v="7"/>
    <x v="2"/>
    <x v="6"/>
    <x v="2"/>
    <n v="0"/>
  </r>
  <r>
    <d v="2019-04-02T00:00:00"/>
    <d v="2019-04-02T00:00:00"/>
    <d v="2019-04-02T00:00:00"/>
    <x v="0"/>
    <x v="4"/>
    <s v="NF9964"/>
    <n v="3453"/>
    <x v="8"/>
    <n v="2019"/>
    <x v="8"/>
    <x v="2"/>
    <x v="7"/>
    <x v="2"/>
    <n v="0"/>
  </r>
  <r>
    <d v="2019-04-05T00:00:00"/>
    <d v="2019-04-03T00:00:00"/>
    <d v="2019-04-05T00:00:00"/>
    <x v="0"/>
    <x v="1"/>
    <s v="NF9101"/>
    <n v="3341"/>
    <x v="8"/>
    <n v="2019"/>
    <x v="8"/>
    <x v="2"/>
    <x v="7"/>
    <x v="2"/>
    <n v="0"/>
  </r>
  <r>
    <s v=""/>
    <d v="2019-04-06T00:00:00"/>
    <d v="2019-05-20T00:00:00"/>
    <x v="0"/>
    <x v="3"/>
    <s v="NF3185"/>
    <n v="2707"/>
    <x v="2"/>
    <n v="0"/>
    <x v="8"/>
    <x v="2"/>
    <x v="8"/>
    <x v="2"/>
    <n v="22"/>
  </r>
  <r>
    <d v="2019-07-01T00:00:00"/>
    <d v="2019-04-08T00:00:00"/>
    <d v="2019-05-18T00:00:00"/>
    <x v="0"/>
    <x v="1"/>
    <s v="NF2836"/>
    <n v="1582"/>
    <x v="11"/>
    <n v="2019"/>
    <x v="8"/>
    <x v="2"/>
    <x v="8"/>
    <x v="2"/>
    <n v="44"/>
  </r>
  <r>
    <d v="2019-04-23T00:00:00"/>
    <d v="2019-04-10T00:00:00"/>
    <d v="2019-04-10T00:00:00"/>
    <x v="0"/>
    <x v="1"/>
    <s v="NF7779"/>
    <n v="3889"/>
    <x v="8"/>
    <n v="2019"/>
    <x v="8"/>
    <x v="2"/>
    <x v="7"/>
    <x v="2"/>
    <n v="13"/>
  </r>
  <r>
    <d v="2019-04-29T00:00:00"/>
    <d v="2019-04-14T00:00:00"/>
    <d v="2019-04-29T00:00:00"/>
    <x v="0"/>
    <x v="1"/>
    <s v="NF5919"/>
    <n v="2303"/>
    <x v="8"/>
    <n v="2019"/>
    <x v="8"/>
    <x v="2"/>
    <x v="7"/>
    <x v="2"/>
    <n v="0"/>
  </r>
  <r>
    <d v="2019-04-17T00:00:00"/>
    <d v="2019-04-17T00:00:00"/>
    <d v="2019-04-17T00:00:00"/>
    <x v="0"/>
    <x v="2"/>
    <s v="NF1620"/>
    <n v="802"/>
    <x v="8"/>
    <n v="2019"/>
    <x v="8"/>
    <x v="2"/>
    <x v="7"/>
    <x v="2"/>
    <n v="0"/>
  </r>
  <r>
    <s v=""/>
    <d v="2019-04-19T00:00:00"/>
    <d v="2019-05-04T00:00:00"/>
    <x v="0"/>
    <x v="1"/>
    <s v="NF3801"/>
    <n v="4513"/>
    <x v="2"/>
    <n v="0"/>
    <x v="8"/>
    <x v="2"/>
    <x v="8"/>
    <x v="2"/>
    <n v="38"/>
  </r>
  <r>
    <d v="2019-05-01T00:00:00"/>
    <d v="2019-04-21T00:00:00"/>
    <d v="2019-05-01T00:00:00"/>
    <x v="0"/>
    <x v="1"/>
    <s v="NF8086"/>
    <n v="3908"/>
    <x v="10"/>
    <n v="2019"/>
    <x v="8"/>
    <x v="2"/>
    <x v="8"/>
    <x v="2"/>
    <n v="0"/>
  </r>
  <r>
    <d v="2019-07-15T00:00:00"/>
    <d v="2019-04-25T00:00:00"/>
    <d v="2019-06-19T00:00:00"/>
    <x v="0"/>
    <x v="1"/>
    <s v="NF4964"/>
    <n v="156"/>
    <x v="11"/>
    <n v="2019"/>
    <x v="8"/>
    <x v="2"/>
    <x v="9"/>
    <x v="2"/>
    <n v="26"/>
  </r>
  <r>
    <d v="2019-06-06T00:00:00"/>
    <d v="2019-04-27T00:00:00"/>
    <d v="2019-06-06T00:00:00"/>
    <x v="0"/>
    <x v="2"/>
    <s v="NF6112"/>
    <n v="457"/>
    <x v="9"/>
    <n v="2019"/>
    <x v="8"/>
    <x v="2"/>
    <x v="9"/>
    <x v="2"/>
    <n v="0"/>
  </r>
  <r>
    <d v="2019-06-08T00:00:00"/>
    <d v="2019-05-03T00:00:00"/>
    <d v="2019-06-08T00:00:00"/>
    <x v="0"/>
    <x v="1"/>
    <s v="NF2333"/>
    <n v="3536"/>
    <x v="9"/>
    <n v="2019"/>
    <x v="9"/>
    <x v="2"/>
    <x v="9"/>
    <x v="2"/>
    <n v="0"/>
  </r>
  <r>
    <d v="2019-05-10T00:00:00"/>
    <d v="2019-05-05T00:00:00"/>
    <d v="2019-05-10T00:00:00"/>
    <x v="0"/>
    <x v="1"/>
    <s v="NF7121"/>
    <n v="1809"/>
    <x v="10"/>
    <n v="2019"/>
    <x v="9"/>
    <x v="2"/>
    <x v="8"/>
    <x v="2"/>
    <n v="0"/>
  </r>
  <r>
    <d v="2019-05-28T00:00:00"/>
    <d v="2019-05-06T00:00:00"/>
    <d v="2019-05-28T00:00:00"/>
    <x v="0"/>
    <x v="2"/>
    <s v="NF8208"/>
    <n v="4172"/>
    <x v="10"/>
    <n v="2019"/>
    <x v="9"/>
    <x v="2"/>
    <x v="8"/>
    <x v="2"/>
    <n v="0"/>
  </r>
  <r>
    <d v="2019-06-07T00:00:00"/>
    <d v="2019-05-07T00:00:00"/>
    <d v="2019-06-07T00:00:00"/>
    <x v="0"/>
    <x v="2"/>
    <s v="NF1320"/>
    <n v="3827"/>
    <x v="9"/>
    <n v="2019"/>
    <x v="9"/>
    <x v="2"/>
    <x v="9"/>
    <x v="2"/>
    <n v="0"/>
  </r>
  <r>
    <d v="2019-06-29T00:00:00"/>
    <d v="2019-05-09T00:00:00"/>
    <d v="2019-06-29T00:00:00"/>
    <x v="0"/>
    <x v="2"/>
    <s v="NF9162"/>
    <n v="1700"/>
    <x v="9"/>
    <n v="2019"/>
    <x v="9"/>
    <x v="2"/>
    <x v="9"/>
    <x v="2"/>
    <n v="0"/>
  </r>
  <r>
    <d v="2019-05-29T00:00:00"/>
    <d v="2019-05-10T00:00:00"/>
    <d v="2019-05-29T00:00:00"/>
    <x v="0"/>
    <x v="2"/>
    <s v="NF1497"/>
    <n v="2090"/>
    <x v="10"/>
    <n v="2019"/>
    <x v="9"/>
    <x v="2"/>
    <x v="8"/>
    <x v="2"/>
    <n v="0"/>
  </r>
  <r>
    <d v="2019-05-13T00:00:00"/>
    <d v="2019-05-13T00:00:00"/>
    <d v="2019-05-13T00:00:00"/>
    <x v="0"/>
    <x v="0"/>
    <s v="NF8398"/>
    <n v="3230"/>
    <x v="10"/>
    <n v="2019"/>
    <x v="9"/>
    <x v="2"/>
    <x v="8"/>
    <x v="2"/>
    <n v="0"/>
  </r>
  <r>
    <d v="2019-05-16T00:00:00"/>
    <d v="2019-05-16T00:00:00"/>
    <d v="2019-05-16T00:00:00"/>
    <x v="0"/>
    <x v="1"/>
    <s v="NF1274"/>
    <n v="4030"/>
    <x v="10"/>
    <n v="2019"/>
    <x v="9"/>
    <x v="2"/>
    <x v="8"/>
    <x v="2"/>
    <n v="0"/>
  </r>
  <r>
    <d v="2019-05-19T00:00:00"/>
    <d v="2019-05-19T00:00:00"/>
    <d v="2019-05-19T00:00:00"/>
    <x v="0"/>
    <x v="0"/>
    <s v="NF1599"/>
    <n v="1367"/>
    <x v="10"/>
    <n v="2019"/>
    <x v="9"/>
    <x v="2"/>
    <x v="8"/>
    <x v="2"/>
    <n v="0"/>
  </r>
  <r>
    <d v="2019-06-10T00:00:00"/>
    <d v="2019-05-22T00:00:00"/>
    <d v="2019-06-10T00:00:00"/>
    <x v="0"/>
    <x v="1"/>
    <s v="NF6880"/>
    <n v="3945"/>
    <x v="9"/>
    <n v="2019"/>
    <x v="9"/>
    <x v="2"/>
    <x v="9"/>
    <x v="2"/>
    <n v="0"/>
  </r>
  <r>
    <d v="2019-05-25T00:00:00"/>
    <d v="2019-05-25T00:00:00"/>
    <d v="2019-05-25T00:00:00"/>
    <x v="0"/>
    <x v="4"/>
    <s v="NF3246"/>
    <n v="4518"/>
    <x v="10"/>
    <n v="2019"/>
    <x v="9"/>
    <x v="2"/>
    <x v="8"/>
    <x v="2"/>
    <n v="0"/>
  </r>
  <r>
    <s v=""/>
    <d v="2019-05-29T00:00:00"/>
    <d v="2019-06-29T00:00:00"/>
    <x v="0"/>
    <x v="1"/>
    <s v="NF4547"/>
    <n v="3086"/>
    <x v="2"/>
    <n v="0"/>
    <x v="9"/>
    <x v="2"/>
    <x v="9"/>
    <x v="2"/>
    <n v="0"/>
  </r>
  <r>
    <d v="2019-06-12T00:00:00"/>
    <d v="2019-06-03T00:00:00"/>
    <d v="2019-06-12T00:00:00"/>
    <x v="0"/>
    <x v="2"/>
    <s v="NF5900"/>
    <n v="297"/>
    <x v="9"/>
    <n v="2019"/>
    <x v="10"/>
    <x v="2"/>
    <x v="9"/>
    <x v="2"/>
    <n v="0"/>
  </r>
  <r>
    <d v="2019-06-23T00:00:00"/>
    <d v="2019-06-07T00:00:00"/>
    <d v="2019-06-23T00:00:00"/>
    <x v="0"/>
    <x v="0"/>
    <s v="NF2566"/>
    <n v="3226"/>
    <x v="9"/>
    <n v="2019"/>
    <x v="10"/>
    <x v="2"/>
    <x v="9"/>
    <x v="2"/>
    <n v="0"/>
  </r>
  <r>
    <d v="2019-06-09T00:00:00"/>
    <d v="2019-06-09T00:00:00"/>
    <d v="2019-06-09T00:00:00"/>
    <x v="0"/>
    <x v="1"/>
    <s v="NF1823"/>
    <n v="2338"/>
    <x v="9"/>
    <n v="2019"/>
    <x v="10"/>
    <x v="2"/>
    <x v="9"/>
    <x v="2"/>
    <n v="0"/>
  </r>
  <r>
    <d v="2019-07-18T00:00:00"/>
    <d v="2019-06-16T00:00:00"/>
    <d v="2019-07-18T00:00:00"/>
    <x v="0"/>
    <x v="0"/>
    <s v="NF9109"/>
    <n v="3773"/>
    <x v="11"/>
    <n v="2019"/>
    <x v="10"/>
    <x v="2"/>
    <x v="10"/>
    <x v="2"/>
    <n v="0"/>
  </r>
  <r>
    <s v=""/>
    <d v="2019-06-19T00:00:00"/>
    <d v="2019-08-09T00:00:00"/>
    <x v="0"/>
    <x v="0"/>
    <s v="NF4812"/>
    <n v="2759"/>
    <x v="2"/>
    <n v="0"/>
    <x v="10"/>
    <x v="2"/>
    <x v="11"/>
    <x v="2"/>
    <n v="0"/>
  </r>
  <r>
    <d v="2019-06-21T00:00:00"/>
    <d v="2019-06-21T00:00:00"/>
    <d v="2019-06-21T00:00:00"/>
    <x v="0"/>
    <x v="0"/>
    <s v="NF9082"/>
    <n v="1425"/>
    <x v="9"/>
    <n v="2019"/>
    <x v="10"/>
    <x v="2"/>
    <x v="9"/>
    <x v="2"/>
    <n v="0"/>
  </r>
  <r>
    <d v="2019-06-23T00:00:00"/>
    <d v="2019-06-23T00:00:00"/>
    <d v="2019-06-23T00:00:00"/>
    <x v="0"/>
    <x v="0"/>
    <s v="NF3611"/>
    <n v="332"/>
    <x v="9"/>
    <n v="2019"/>
    <x v="10"/>
    <x v="2"/>
    <x v="9"/>
    <x v="2"/>
    <n v="0"/>
  </r>
  <r>
    <d v="2019-07-07T00:00:00"/>
    <d v="2019-06-30T00:00:00"/>
    <d v="2019-07-07T00:00:00"/>
    <x v="0"/>
    <x v="1"/>
    <s v="NF4931"/>
    <n v="2819"/>
    <x v="11"/>
    <n v="2019"/>
    <x v="10"/>
    <x v="2"/>
    <x v="10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dDetalhaReceita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TdDetalhaDespesa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TdContasPagar" cacheId="1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I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axis="axisCol" showAll="0">
      <items count="14">
        <item x="2"/>
        <item h="1" x="5"/>
        <item h="1" x="6"/>
        <item h="1" x="7"/>
        <item h="1" x="8"/>
        <item h="1" x="10"/>
        <item h="1" x="9"/>
        <item h="1" x="11"/>
        <item h="1" x="12"/>
        <item h="1" x="1"/>
        <item h="1" x="0"/>
        <item h="1" x="3"/>
        <item h="1" x="4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</pivotFields>
  <rowFields count="2">
    <field x="3"/>
    <field x="4"/>
  </rowFields>
  <rowItems count="5">
    <i>
      <x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7">
    <i>
      <x/>
      <x/>
    </i>
    <i r="1">
      <x v="1"/>
    </i>
    <i r="1">
      <x v="3"/>
    </i>
    <i r="1">
      <x v="4"/>
    </i>
    <i r="1">
      <x v="5"/>
    </i>
    <i r="1">
      <x v="7"/>
    </i>
    <i t="default">
      <x/>
    </i>
  </colItems>
  <pageFields count="1">
    <pageField fld="12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dContasReceber" cacheId="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I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axis="axisCol" showAll="0">
      <items count="14">
        <item x="4"/>
        <item h="1" x="5"/>
        <item h="1" x="6"/>
        <item h="1" x="7"/>
        <item h="1" x="8"/>
        <item h="1" x="9"/>
        <item h="1" x="11"/>
        <item h="1" x="10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Col" showAll="0" defaultSubtotal="0">
      <items count="12">
        <item x="4"/>
        <item x="6"/>
        <item x="7"/>
        <item x="8"/>
        <item x="9"/>
        <item x="10"/>
        <item x="11"/>
        <item x="0"/>
        <item x="1"/>
        <item x="2"/>
        <item x="3"/>
        <item x="5"/>
      </items>
    </pivotField>
    <pivotField axis="axisPage" showAll="0" defaultSubtotal="0">
      <items count="3">
        <item x="0"/>
        <item x="1"/>
        <item x="2"/>
      </items>
    </pivotField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7">
    <i>
      <x/>
      <x/>
    </i>
    <i r="1">
      <x v="1"/>
    </i>
    <i r="1">
      <x v="3"/>
    </i>
    <i r="1">
      <x v="4"/>
    </i>
    <i r="1">
      <x v="5"/>
    </i>
    <i r="1">
      <x v="6"/>
    </i>
    <i t="default">
      <x/>
    </i>
  </colItems>
  <pageFields count="1">
    <pageField fld="12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TdContasReceberVencidas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G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5">
    <i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5">
    <i>
      <x v="1"/>
      <x/>
    </i>
    <i r="1">
      <x v="2"/>
    </i>
    <i r="1">
      <x v="3"/>
    </i>
    <i r="1">
      <x v="4"/>
    </i>
    <i t="grand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" xr10:uid="{00000000-0013-0000-FFFF-FFFF01000000}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00000000-0013-0000-FFFF-FFFF02000000}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1" xr10:uid="{00000000-0013-0000-FFFF-FFFF03000000}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1" xr10:uid="{00000000-0013-0000-FFFF-FFFF04000000}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" xr10:uid="{00000000-0013-0000-FFFF-FFFF05000000}" sourceName="Mês Previsto">
  <pivotTables>
    <pivotTable tabId="12" name="TdContasPagar"/>
  </pivotTables>
  <data>
    <tabular pivotCacheId="2">
      <items count="12">
        <i x="4" s="1"/>
        <i x="5" s="1"/>
        <i x="7" s="1"/>
        <i x="8" s="1"/>
        <i x="9" s="1"/>
        <i x="11" s="1"/>
        <i x="6" s="1" nd="1"/>
        <i x="10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1" xr10:uid="{00000000-0013-0000-FFFF-FFFF06000000}" sourceName="Mês Previsto">
  <pivotTables>
    <pivotTable tabId="13" name="TdContasReceber"/>
  </pivotTables>
  <data>
    <tabular pivotCacheId="1">
      <items count="12">
        <i x="4" s="1"/>
        <i x="6" s="1"/>
        <i x="8" s="1"/>
        <i x="9" s="1"/>
        <i x="10" s="1"/>
        <i x="11" s="1"/>
        <i x="7" s="1" nd="1"/>
        <i x="0" s="1" nd="1"/>
        <i x="1" s="1" nd="1"/>
        <i x="2" s="1" nd="1"/>
        <i x="3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4" xr10:uid="{00000000-0013-0000-FFFF-FFFF07000000}" sourceName="Ano Competência">
  <pivotTables>
    <pivotTable tabId="14" name="TdContasReceberVencidas"/>
  </pivotTables>
  <data>
    <tabular pivotCacheId="1">
      <items count="3">
        <i x="0"/>
        <i x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" xr10:uid="{00000000-0013-0000-FFFF-FFFF08000000}" sourceName="Ano Previsto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1" xr10:uid="{00000000-0013-0000-FFFF-FFFF09000000}" sourceName="Ano Previsto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" xr10:uid="{00000000-0014-0000-FFFF-FFFF01000000}" cache="SegmentaçãodeDados_Mês_Competência" caption="Mês Competência" columnCount="6" rowHeight="241300"/>
  <slicer name="Ano Competência" xr10:uid="{00000000-0014-0000-FFFF-FFFF02000000}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 1" xr10:uid="{00000000-0014-0000-FFFF-FFFF03000000}" cache="SegmentaçãodeDados_Mês_Competência1" caption="Mês Competência" columnCount="6" rowHeight="241300"/>
  <slicer name="Ano Competência 1" xr10:uid="{00000000-0014-0000-FFFF-FFFF04000000}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" xr10:uid="{00000000-0014-0000-FFFF-FFFF05000000}" cache="SegmentaçãodeDados_Mês_Previsto" caption="Mês Previsto" columnCount="6" rowHeight="241300"/>
  <slicer name="Ano Previsto" xr10:uid="{00000000-0014-0000-FFFF-FFFF06000000}" cache="SegmentaçãodeDados_Ano_Previsto" caption="Ano Previsto" columnCount="2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 1" xr10:uid="{00000000-0014-0000-FFFF-FFFF07000000}" cache="SegmentaçãodeDados_Mês_Previsto1" caption="Mês Previsto" columnCount="6" rowHeight="241300"/>
  <slicer name="Ano Previsto 1" xr10:uid="{00000000-0014-0000-FFFF-FFFF08000000}" cache="SegmentaçãodeDados_Ano_Previsto1" caption="Ano Previsto" columnCount="2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4" xr10:uid="{00000000-0014-0000-FFFF-FFFF09000000}" cache="SegmentaçãodeDados_Ano_Competência4" caption="Ano Competência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PCEntradasN1" displayName="TbPCEntradasN1" ref="B4:B9" totalsRowShown="0" headerRowDxfId="38">
  <autoFilter ref="B4:B9" xr:uid="{00000000-0009-0000-0100-000001000000}"/>
  <tableColumns count="1">
    <tableColumn id="1" xr3:uid="{00000000-0010-0000-0000-000001000000}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PCEntradasN2" displayName="TbPCEntradasN2" ref="B4:C13" totalsRowShown="0" headerRowDxfId="37">
  <autoFilter ref="B4:C13" xr:uid="{00000000-0009-0000-0100-000002000000}"/>
  <tableColumns count="2">
    <tableColumn id="1" xr3:uid="{00000000-0010-0000-0100-000001000000}" name="Nível 1"/>
    <tableColumn id="2" xr3:uid="{00000000-0010-0000-0100-000002000000}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PCSaídasN1" displayName="TbPCSaídasN1" ref="B4:B10" totalsRowShown="0" headerRowDxfId="36">
  <autoFilter ref="B4:B10" xr:uid="{00000000-0009-0000-0100-000003000000}"/>
  <tableColumns count="1">
    <tableColumn id="1" xr3:uid="{00000000-0010-0000-0200-000001000000}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PCSaídasN2" displayName="TbPCSaídasN2" ref="B4:C16" totalsRowShown="0" headerRowDxfId="35">
  <autoFilter ref="B4:C16" xr:uid="{00000000-0009-0000-0100-000004000000}"/>
  <tableColumns count="2">
    <tableColumn id="1" xr3:uid="{00000000-0010-0000-0300-000001000000}" name="Nível 1"/>
    <tableColumn id="2" xr3:uid="{00000000-0010-0000-0300-000002000000}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RegistroEntradas" displayName="TbRegistroEntradas" ref="B3:Q234" totalsRowShown="0" headerRowDxfId="34">
  <autoFilter ref="B3:Q234" xr:uid="{00000000-0009-0000-0100-000005000000}"/>
  <tableColumns count="16">
    <tableColumn id="1" xr3:uid="{00000000-0010-0000-0400-000001000000}" name="Data do Caixa Realizado" dataDxfId="33"/>
    <tableColumn id="2" xr3:uid="{00000000-0010-0000-0400-000002000000}" name="Data da Competência" dataDxfId="32"/>
    <tableColumn id="3" xr3:uid="{00000000-0010-0000-0400-000003000000}" name="Data do Caixa Previsto" dataDxfId="31"/>
    <tableColumn id="4" xr3:uid="{00000000-0010-0000-0400-000004000000}" name="Conta Nível 1" dataDxfId="30"/>
    <tableColumn id="5" xr3:uid="{00000000-0010-0000-0400-000005000000}" name="Conta Nível 2" dataDxfId="29"/>
    <tableColumn id="6" xr3:uid="{00000000-0010-0000-0400-000006000000}" name="Histórico" dataDxfId="28"/>
    <tableColumn id="7" xr3:uid="{00000000-0010-0000-0400-000007000000}" name="Valor" dataDxfId="27"/>
    <tableColumn id="8" xr3:uid="{00000000-0010-0000-0400-000008000000}" name="Mês Caixa" dataDxfId="26">
      <calculatedColumnFormula>IF(TbRegistroEntradas[[#This Row],[Data do Caixa Realizado]]="",0,MONTH(TbRegistroEntradas[[#This Row],[Data do Caixa Realizado]]))</calculatedColumnFormula>
    </tableColumn>
    <tableColumn id="9" xr3:uid="{00000000-0010-0000-0400-000009000000}" name="Ano Caixa" dataDxfId="25">
      <calculatedColumnFormula>IF(TbRegistroEntradas[[#This Row],[Data do Caixa Realizado]]="",0,YEAR(TbRegistroEntradas[[#This Row],[Data do Caixa Realizado]]))</calculatedColumnFormula>
    </tableColumn>
    <tableColumn id="10" xr3:uid="{00000000-0010-0000-0400-00000A000000}" name="Mês Competência" dataDxfId="24">
      <calculatedColumnFormula>IF(TbRegistroEntradas[[#This Row],[Data da Competência]]="",0,MONTH(TbRegistroEntradas[[#This Row],[Data da Competência]]))</calculatedColumnFormula>
    </tableColumn>
    <tableColumn id="11" xr3:uid="{00000000-0010-0000-0400-00000B000000}" name="Ano Competência" dataDxfId="23">
      <calculatedColumnFormula>IF(TbRegistroEntradas[[#This Row],[Data da Competência]]="",0,YEAR(TbRegistroEntradas[[#This Row],[Data da Competência]]))</calculatedColumnFormula>
    </tableColumn>
    <tableColumn id="12" xr3:uid="{00000000-0010-0000-0400-00000C000000}" name="Mês Previsto" dataDxfId="22">
      <calculatedColumnFormula>IF(TbRegistroEntradas[[#This Row],[Data do Caixa Previsto]]="",0,MONTH(TbRegistroEntradas[[#This Row],[Data do Caixa Previsto]]))</calculatedColumnFormula>
    </tableColumn>
    <tableColumn id="13" xr3:uid="{00000000-0010-0000-0400-00000D000000}" name="Ano Previsto" dataDxfId="21">
      <calculatedColumnFormula>IF(TbRegistroEntradas[[#This Row],[Data do Caixa Previsto]]="",0,YEAR(TbRegistroEntradas[[#This Row],[Data do Caixa Previsto]]))</calculatedColumnFormula>
    </tableColumn>
    <tableColumn id="14" xr3:uid="{00000000-0010-0000-0400-00000E000000}" name="Conta Vencida" dataDxfId="20">
      <calculatedColumnFormula>IF(AND(TbRegistroEntradas[[#This Row],[Data do Caixa Previsto]]&lt;TODAY(),TbRegistroEntradas[[#This Row],[Data do Caixa Realizado]]=""),"Vencida","Não Vencida")</calculatedColumnFormula>
    </tableColumn>
    <tableColumn id="15" xr3:uid="{00000000-0010-0000-0400-00000F000000}" name="Venda à Vista" dataDxfId="19">
      <calculatedColumnFormula>IF(TbRegistroEntradas[[#This Row],[Data da Competência]]=TbRegistroEntradas[[#This Row],[Data do Caixa Previsto]],"Vista","Prazo")</calculatedColumnFormula>
    </tableColumn>
    <tableColumn id="16" xr3:uid="{00000000-0010-0000-0400-000010000000}" name="Dias de Atraso" dataDxfId="18">
      <calculatedColumnFormula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RegistroSaídas" displayName="TbRegistroSaídas" ref="B3:O232" totalsRowShown="0" headerRowDxfId="17" headerRowBorderDxfId="16" tableBorderDxfId="15">
  <autoFilter ref="B3:O232" xr:uid="{00000000-0009-0000-0100-000006000000}"/>
  <tableColumns count="14">
    <tableColumn id="1" xr3:uid="{00000000-0010-0000-0500-000001000000}" name="Data do Caixa Realizado" dataDxfId="14"/>
    <tableColumn id="2" xr3:uid="{00000000-0010-0000-0500-000002000000}" name="Data da Competência" dataDxfId="13"/>
    <tableColumn id="3" xr3:uid="{00000000-0010-0000-0500-000003000000}" name="Data do Caixa Previsto" dataDxfId="12"/>
    <tableColumn id="4" xr3:uid="{00000000-0010-0000-0500-000004000000}" name="Conta Nível 1"/>
    <tableColumn id="5" xr3:uid="{00000000-0010-0000-0500-000005000000}" name="Conta Nível 2"/>
    <tableColumn id="6" xr3:uid="{00000000-0010-0000-0500-000006000000}" name="Histórico"/>
    <tableColumn id="7" xr3:uid="{00000000-0010-0000-0500-000007000000}" name="Valor" dataDxfId="11"/>
    <tableColumn id="8" xr3:uid="{00000000-0010-0000-0500-000008000000}" name="Mês Caixa" dataDxfId="10">
      <calculatedColumnFormula>IF(TbRegistroSaídas[[#This Row],[Data do Caixa Realizado]]="",0,MONTH(TbRegistroSaídas[[#This Row],[Data do Caixa Realizado]]))</calculatedColumnFormula>
    </tableColumn>
    <tableColumn id="9" xr3:uid="{00000000-0010-0000-0500-000009000000}" name="Ano Caixa" dataDxfId="9">
      <calculatedColumnFormula>IF(TbRegistroSaídas[[#This Row],[Data do Caixa Realizado]]="",0,YEAR(TbRegistroSaídas[[#This Row],[Data do Caixa Realizado]]))</calculatedColumnFormula>
    </tableColumn>
    <tableColumn id="10" xr3:uid="{00000000-0010-0000-0500-00000A000000}" name="Mês Competência" dataDxfId="8">
      <calculatedColumnFormula>IF(TbRegistroSaídas[[#This Row],[Data da Competência]]="",0,MONTH(TbRegistroSaídas[[#This Row],[Data da Competência]]))</calculatedColumnFormula>
    </tableColumn>
    <tableColumn id="11" xr3:uid="{00000000-0010-0000-0500-00000B000000}" name="Ano Competência" dataDxfId="7">
      <calculatedColumnFormula>IF(TbRegistroSaídas[[#This Row],[Data da Competência]]="",0,YEAR(TbRegistroSaídas[[#This Row],[Data da Competência]]))</calculatedColumnFormula>
    </tableColumn>
    <tableColumn id="12" xr3:uid="{00000000-0010-0000-0500-00000C000000}" name="Mês Previsto" dataDxfId="6">
      <calculatedColumnFormula>IF(TbRegistroSaídas[[#This Row],[Data do Caixa Previsto]]="",0,MONTH(TbRegistroSaídas[[#This Row],[Data do Caixa Previsto]]))</calculatedColumnFormula>
    </tableColumn>
    <tableColumn id="13" xr3:uid="{00000000-0010-0000-0500-00000D000000}" name="Ano Previsto" dataDxfId="5">
      <calculatedColumnFormula>IF(TbRegistroSaídas[[#This Row],[Data do Caixa Previsto]]="",0,YEAR(TbRegistroSaídas[[#This Row],[Data do Caixa Previsto]]))</calculatedColumnFormula>
    </tableColumn>
    <tableColumn id="14" xr3:uid="{00000000-0010-0000-0500-00000E000000}" name="Dias de Atraso" dataDxfId="4">
      <calculatedColumnFormula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showGridLines="0" showRowColHeaders="0" tabSelected="1" workbookViewId="0">
      <selection activeCell="B4" sqref="B4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609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14" ht="27" customHeight="1" x14ac:dyDescent="0.25"/>
    <row r="3" spans="1:14" ht="20.100000000000001" customHeight="1" x14ac:dyDescent="0.25">
      <c r="B3" s="4" t="s">
        <v>2</v>
      </c>
    </row>
    <row r="4" spans="1:14" ht="20.100000000000001" customHeight="1" x14ac:dyDescent="0.25">
      <c r="B4" s="123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4" t="s">
        <v>4</v>
      </c>
    </row>
    <row r="8" spans="1:14" ht="20.100000000000001" customHeight="1" x14ac:dyDescent="0.25">
      <c r="B8" s="123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20.100000000000001" customHeight="1" x14ac:dyDescent="0.25"/>
  </sheetData>
  <sheetProtection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609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14</v>
      </c>
    </row>
    <row r="2" spans="1:15" ht="7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25"/>
    <row r="4" spans="1:15" ht="20.100000000000001" customHeight="1" x14ac:dyDescent="0.25">
      <c r="B4" s="33" t="s">
        <v>540</v>
      </c>
      <c r="C4" s="34">
        <v>2018</v>
      </c>
    </row>
    <row r="5" spans="1:15" ht="20.100000000000001" customHeight="1" x14ac:dyDescent="0.25"/>
    <row r="6" spans="1:15" ht="20.100000000000001" customHeight="1" x14ac:dyDescent="0.25">
      <c r="B6" s="33" t="s">
        <v>544</v>
      </c>
      <c r="C6" s="33" t="s">
        <v>543</v>
      </c>
    </row>
    <row r="7" spans="1:15" ht="20.100000000000001" customHeight="1" x14ac:dyDescent="0.25">
      <c r="B7" s="33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20.100000000000001" customHeight="1" x14ac:dyDescent="0.25">
      <c r="B8" s="34" t="s">
        <v>23</v>
      </c>
      <c r="C8" s="36">
        <v>20582</v>
      </c>
      <c r="D8" s="36">
        <v>24761</v>
      </c>
      <c r="E8" s="36">
        <v>37458</v>
      </c>
      <c r="F8" s="36">
        <v>30226</v>
      </c>
      <c r="G8" s="36">
        <v>19009</v>
      </c>
      <c r="H8" s="36">
        <v>28711</v>
      </c>
      <c r="I8" s="36">
        <v>33298</v>
      </c>
      <c r="J8" s="36">
        <v>22302</v>
      </c>
      <c r="K8" s="36">
        <v>26024</v>
      </c>
      <c r="L8" s="36">
        <v>29400</v>
      </c>
      <c r="M8" s="36">
        <v>30897</v>
      </c>
      <c r="N8" s="36">
        <v>17906</v>
      </c>
      <c r="O8" s="36">
        <v>320574</v>
      </c>
    </row>
    <row r="9" spans="1:15" ht="20.100000000000001" customHeight="1" x14ac:dyDescent="0.25">
      <c r="B9" s="35" t="s">
        <v>31</v>
      </c>
      <c r="C9" s="36">
        <v>1864</v>
      </c>
      <c r="D9" s="36"/>
      <c r="E9" s="36">
        <v>4800</v>
      </c>
      <c r="F9" s="36"/>
      <c r="G9" s="36">
        <v>6340</v>
      </c>
      <c r="H9" s="36">
        <v>6836</v>
      </c>
      <c r="I9" s="36">
        <v>2713</v>
      </c>
      <c r="J9" s="36">
        <v>3080</v>
      </c>
      <c r="K9" s="36"/>
      <c r="L9" s="36">
        <v>4922</v>
      </c>
      <c r="M9" s="36">
        <v>919</v>
      </c>
      <c r="N9" s="36"/>
      <c r="O9" s="36">
        <v>31474</v>
      </c>
    </row>
    <row r="10" spans="1:15" ht="20.100000000000001" customHeight="1" x14ac:dyDescent="0.25">
      <c r="B10" s="35" t="s">
        <v>32</v>
      </c>
      <c r="C10" s="36">
        <v>3843</v>
      </c>
      <c r="D10" s="36">
        <v>10345</v>
      </c>
      <c r="E10" s="36">
        <v>5629</v>
      </c>
      <c r="F10" s="36">
        <v>4467</v>
      </c>
      <c r="G10" s="36"/>
      <c r="H10" s="36">
        <v>2114</v>
      </c>
      <c r="I10" s="36">
        <v>8337</v>
      </c>
      <c r="J10" s="36">
        <v>4072</v>
      </c>
      <c r="K10" s="36">
        <v>5761</v>
      </c>
      <c r="L10" s="36">
        <v>7117</v>
      </c>
      <c r="M10" s="36">
        <v>3068</v>
      </c>
      <c r="N10" s="36">
        <v>2088</v>
      </c>
      <c r="O10" s="36">
        <v>56841</v>
      </c>
    </row>
    <row r="11" spans="1:15" ht="20.100000000000001" customHeight="1" x14ac:dyDescent="0.25">
      <c r="B11" s="35" t="s">
        <v>33</v>
      </c>
      <c r="C11" s="36"/>
      <c r="D11" s="36">
        <v>5718</v>
      </c>
      <c r="E11" s="36">
        <v>4918</v>
      </c>
      <c r="F11" s="36">
        <v>3446</v>
      </c>
      <c r="G11" s="36">
        <v>611</v>
      </c>
      <c r="H11" s="36">
        <v>3224</v>
      </c>
      <c r="I11" s="36">
        <v>1306</v>
      </c>
      <c r="J11" s="36"/>
      <c r="K11" s="36">
        <v>6637</v>
      </c>
      <c r="L11" s="36"/>
      <c r="M11" s="36">
        <v>1820</v>
      </c>
      <c r="N11" s="36"/>
      <c r="O11" s="36">
        <v>27680</v>
      </c>
    </row>
    <row r="12" spans="1:15" ht="20.100000000000001" customHeight="1" x14ac:dyDescent="0.25">
      <c r="B12" s="35" t="s">
        <v>34</v>
      </c>
      <c r="C12" s="36">
        <v>10164</v>
      </c>
      <c r="D12" s="36">
        <v>7734</v>
      </c>
      <c r="E12" s="36">
        <v>9984</v>
      </c>
      <c r="F12" s="36">
        <v>22313</v>
      </c>
      <c r="G12" s="36">
        <v>4850</v>
      </c>
      <c r="H12" s="36">
        <v>12262</v>
      </c>
      <c r="I12" s="36">
        <v>12594</v>
      </c>
      <c r="J12" s="36">
        <v>6006</v>
      </c>
      <c r="K12" s="36">
        <v>11235</v>
      </c>
      <c r="L12" s="36">
        <v>10633</v>
      </c>
      <c r="M12" s="36">
        <v>20451</v>
      </c>
      <c r="N12" s="36">
        <v>9738</v>
      </c>
      <c r="O12" s="36">
        <v>137964</v>
      </c>
    </row>
    <row r="13" spans="1:15" ht="20.100000000000001" customHeight="1" x14ac:dyDescent="0.25">
      <c r="B13" s="35" t="s">
        <v>35</v>
      </c>
      <c r="C13" s="36">
        <v>4711</v>
      </c>
      <c r="D13" s="36">
        <v>964</v>
      </c>
      <c r="E13" s="36">
        <v>12127</v>
      </c>
      <c r="F13" s="36"/>
      <c r="G13" s="36">
        <v>7208</v>
      </c>
      <c r="H13" s="36">
        <v>4275</v>
      </c>
      <c r="I13" s="36">
        <v>8348</v>
      </c>
      <c r="J13" s="36">
        <v>9144</v>
      </c>
      <c r="K13" s="36">
        <v>2391</v>
      </c>
      <c r="L13" s="36">
        <v>6728</v>
      </c>
      <c r="M13" s="36">
        <v>4639</v>
      </c>
      <c r="N13" s="36">
        <v>6080</v>
      </c>
      <c r="O13" s="36">
        <v>66615</v>
      </c>
    </row>
    <row r="14" spans="1:15" ht="20.100000000000001" customHeight="1" x14ac:dyDescent="0.25">
      <c r="B14" s="34" t="s">
        <v>542</v>
      </c>
      <c r="C14" s="36">
        <v>20582</v>
      </c>
      <c r="D14" s="36">
        <v>24761</v>
      </c>
      <c r="E14" s="36">
        <v>37458</v>
      </c>
      <c r="F14" s="36">
        <v>30226</v>
      </c>
      <c r="G14" s="36">
        <v>19009</v>
      </c>
      <c r="H14" s="36">
        <v>28711</v>
      </c>
      <c r="I14" s="36">
        <v>33298</v>
      </c>
      <c r="J14" s="36">
        <v>22302</v>
      </c>
      <c r="K14" s="36">
        <v>26024</v>
      </c>
      <c r="L14" s="36">
        <v>29400</v>
      </c>
      <c r="M14" s="36">
        <v>30897</v>
      </c>
      <c r="N14" s="36">
        <v>17906</v>
      </c>
      <c r="O14" s="36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609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15</v>
      </c>
    </row>
    <row r="2" spans="1:15" ht="76.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25"/>
    <row r="4" spans="1:15" ht="20.100000000000001" customHeight="1" x14ac:dyDescent="0.25">
      <c r="B4" s="33" t="s">
        <v>540</v>
      </c>
      <c r="C4" s="34">
        <v>2018</v>
      </c>
    </row>
    <row r="5" spans="1:15" ht="20.100000000000001" customHeight="1" x14ac:dyDescent="0.25"/>
    <row r="6" spans="1:15" ht="20.100000000000001" customHeight="1" x14ac:dyDescent="0.25">
      <c r="B6" s="33" t="s">
        <v>544</v>
      </c>
      <c r="C6" s="33" t="s">
        <v>543</v>
      </c>
    </row>
    <row r="7" spans="1:15" ht="20.100000000000001" customHeight="1" x14ac:dyDescent="0.25">
      <c r="B7" s="33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20.100000000000001" customHeight="1" x14ac:dyDescent="0.25">
      <c r="B8" s="34" t="s">
        <v>37</v>
      </c>
      <c r="C8" s="36">
        <v>41773</v>
      </c>
      <c r="D8" s="36">
        <v>25578</v>
      </c>
      <c r="E8" s="36">
        <v>24127</v>
      </c>
      <c r="F8" s="36">
        <v>14679</v>
      </c>
      <c r="G8" s="36">
        <v>24782</v>
      </c>
      <c r="H8" s="36">
        <v>24927</v>
      </c>
      <c r="I8" s="36">
        <v>34065</v>
      </c>
      <c r="J8" s="36">
        <v>21727</v>
      </c>
      <c r="K8" s="36">
        <v>19948</v>
      </c>
      <c r="L8" s="36">
        <v>28693</v>
      </c>
      <c r="M8" s="36">
        <v>22624</v>
      </c>
      <c r="N8" s="36">
        <v>19227</v>
      </c>
      <c r="O8" s="36">
        <v>302150</v>
      </c>
    </row>
    <row r="9" spans="1:15" ht="20.100000000000001" customHeight="1" x14ac:dyDescent="0.25">
      <c r="B9" s="35" t="s">
        <v>31</v>
      </c>
      <c r="C9" s="36">
        <v>3057</v>
      </c>
      <c r="D9" s="36">
        <v>3255</v>
      </c>
      <c r="E9" s="36">
        <v>5837</v>
      </c>
      <c r="F9" s="36">
        <v>2760</v>
      </c>
      <c r="G9" s="36">
        <v>1882</v>
      </c>
      <c r="H9" s="36">
        <v>1613</v>
      </c>
      <c r="I9" s="36"/>
      <c r="J9" s="36">
        <v>9987</v>
      </c>
      <c r="K9" s="36">
        <v>5001</v>
      </c>
      <c r="L9" s="36">
        <v>10149</v>
      </c>
      <c r="M9" s="36">
        <v>1542</v>
      </c>
      <c r="N9" s="36">
        <v>3956</v>
      </c>
      <c r="O9" s="36">
        <v>49039</v>
      </c>
    </row>
    <row r="10" spans="1:15" ht="20.100000000000001" customHeight="1" x14ac:dyDescent="0.25">
      <c r="B10" s="35" t="s">
        <v>32</v>
      </c>
      <c r="C10" s="36">
        <v>6054</v>
      </c>
      <c r="D10" s="36">
        <v>8702</v>
      </c>
      <c r="E10" s="36">
        <v>474</v>
      </c>
      <c r="F10" s="36">
        <v>2463</v>
      </c>
      <c r="G10" s="36">
        <v>6406</v>
      </c>
      <c r="H10" s="36">
        <v>10243</v>
      </c>
      <c r="I10" s="36">
        <v>14461</v>
      </c>
      <c r="J10" s="36">
        <v>4084</v>
      </c>
      <c r="K10" s="36">
        <v>521</v>
      </c>
      <c r="L10" s="36">
        <v>819</v>
      </c>
      <c r="M10" s="36">
        <v>7204</v>
      </c>
      <c r="N10" s="36"/>
      <c r="O10" s="36">
        <v>61431</v>
      </c>
    </row>
    <row r="11" spans="1:15" ht="20.100000000000001" customHeight="1" x14ac:dyDescent="0.25">
      <c r="B11" s="35" t="s">
        <v>33</v>
      </c>
      <c r="C11" s="36">
        <v>2247</v>
      </c>
      <c r="D11" s="36">
        <v>3503</v>
      </c>
      <c r="E11" s="36">
        <v>3893</v>
      </c>
      <c r="F11" s="36">
        <v>4867</v>
      </c>
      <c r="G11" s="36"/>
      <c r="H11" s="36"/>
      <c r="I11" s="36">
        <v>1108</v>
      </c>
      <c r="J11" s="36">
        <v>4462</v>
      </c>
      <c r="K11" s="36">
        <v>159</v>
      </c>
      <c r="L11" s="36">
        <v>9436</v>
      </c>
      <c r="M11" s="36"/>
      <c r="N11" s="36"/>
      <c r="O11" s="36">
        <v>29675</v>
      </c>
    </row>
    <row r="12" spans="1:15" ht="20.100000000000001" customHeight="1" x14ac:dyDescent="0.25">
      <c r="B12" s="35" t="s">
        <v>35</v>
      </c>
      <c r="C12" s="36">
        <v>12821</v>
      </c>
      <c r="D12" s="36"/>
      <c r="E12" s="36"/>
      <c r="F12" s="36"/>
      <c r="G12" s="36">
        <v>4543</v>
      </c>
      <c r="H12" s="36">
        <v>3756</v>
      </c>
      <c r="I12" s="36">
        <v>7688</v>
      </c>
      <c r="J12" s="36">
        <v>2140</v>
      </c>
      <c r="K12" s="36">
        <v>4173</v>
      </c>
      <c r="L12" s="36">
        <v>1260</v>
      </c>
      <c r="M12" s="36"/>
      <c r="N12" s="36">
        <v>3894</v>
      </c>
      <c r="O12" s="36">
        <v>40275</v>
      </c>
    </row>
    <row r="13" spans="1:15" ht="20.100000000000001" customHeight="1" x14ac:dyDescent="0.25">
      <c r="B13" s="35" t="s">
        <v>44</v>
      </c>
      <c r="C13" s="36">
        <v>17594</v>
      </c>
      <c r="D13" s="36">
        <v>10118</v>
      </c>
      <c r="E13" s="36">
        <v>13923</v>
      </c>
      <c r="F13" s="36">
        <v>4589</v>
      </c>
      <c r="G13" s="36">
        <v>11951</v>
      </c>
      <c r="H13" s="36">
        <v>9315</v>
      </c>
      <c r="I13" s="36">
        <v>10808</v>
      </c>
      <c r="J13" s="36">
        <v>1054</v>
      </c>
      <c r="K13" s="36">
        <v>10094</v>
      </c>
      <c r="L13" s="36">
        <v>7029</v>
      </c>
      <c r="M13" s="36">
        <v>13878</v>
      </c>
      <c r="N13" s="36">
        <v>11377</v>
      </c>
      <c r="O13" s="36">
        <v>121730</v>
      </c>
    </row>
    <row r="14" spans="1:15" ht="20.100000000000001" customHeight="1" x14ac:dyDescent="0.25">
      <c r="B14" s="34" t="s">
        <v>542</v>
      </c>
      <c r="C14" s="36">
        <v>41773</v>
      </c>
      <c r="D14" s="36">
        <v>25578</v>
      </c>
      <c r="E14" s="36">
        <v>24127</v>
      </c>
      <c r="F14" s="36">
        <v>14679</v>
      </c>
      <c r="G14" s="36">
        <v>24782</v>
      </c>
      <c r="H14" s="36">
        <v>24927</v>
      </c>
      <c r="I14" s="36">
        <v>34065</v>
      </c>
      <c r="J14" s="36">
        <v>21727</v>
      </c>
      <c r="K14" s="36">
        <v>19948</v>
      </c>
      <c r="L14" s="36">
        <v>28693</v>
      </c>
      <c r="M14" s="36">
        <v>22624</v>
      </c>
      <c r="N14" s="36">
        <v>19227</v>
      </c>
      <c r="O14" s="36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609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16</v>
      </c>
    </row>
    <row r="2" spans="1:15" ht="7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25"/>
    <row r="4" spans="1:15" ht="20.100000000000001" customHeight="1" x14ac:dyDescent="0.25">
      <c r="B4" s="33" t="s">
        <v>545</v>
      </c>
      <c r="C4" s="34">
        <v>2019</v>
      </c>
    </row>
    <row r="5" spans="1:15" ht="20.100000000000001" customHeight="1" x14ac:dyDescent="0.25"/>
    <row r="6" spans="1:15" ht="20.100000000000001" customHeight="1" x14ac:dyDescent="0.25">
      <c r="B6" s="33" t="s">
        <v>544</v>
      </c>
      <c r="C6" s="33" t="s">
        <v>543</v>
      </c>
    </row>
    <row r="7" spans="1:15" ht="20.100000000000001" customHeight="1" x14ac:dyDescent="0.25">
      <c r="C7">
        <v>0</v>
      </c>
      <c r="I7" t="s">
        <v>547</v>
      </c>
    </row>
    <row r="8" spans="1:15" ht="20.100000000000001" customHeight="1" x14ac:dyDescent="0.25">
      <c r="B8" s="33" t="s">
        <v>541</v>
      </c>
      <c r="C8">
        <v>1</v>
      </c>
      <c r="D8">
        <v>2</v>
      </c>
      <c r="E8">
        <v>4</v>
      </c>
      <c r="F8">
        <v>5</v>
      </c>
      <c r="G8">
        <v>6</v>
      </c>
      <c r="H8">
        <v>8</v>
      </c>
    </row>
    <row r="9" spans="1:15" ht="20.100000000000001" customHeight="1" x14ac:dyDescent="0.25">
      <c r="B9" s="34" t="s">
        <v>37</v>
      </c>
      <c r="C9" s="36">
        <v>3042</v>
      </c>
      <c r="D9" s="36">
        <v>7524</v>
      </c>
      <c r="E9" s="36">
        <v>3690</v>
      </c>
      <c r="F9" s="36">
        <v>7220</v>
      </c>
      <c r="G9" s="36">
        <v>3086</v>
      </c>
      <c r="H9" s="36">
        <v>2759</v>
      </c>
      <c r="I9" s="36">
        <v>27321</v>
      </c>
    </row>
    <row r="10" spans="1:15" ht="20.100000000000001" customHeight="1" x14ac:dyDescent="0.25">
      <c r="B10" s="35" t="s">
        <v>33</v>
      </c>
      <c r="C10" s="36"/>
      <c r="D10" s="36"/>
      <c r="E10" s="36"/>
      <c r="F10" s="36">
        <v>2707</v>
      </c>
      <c r="G10" s="36"/>
      <c r="H10" s="36"/>
      <c r="I10" s="36">
        <v>2707</v>
      </c>
    </row>
    <row r="11" spans="1:15" ht="20.100000000000001" customHeight="1" x14ac:dyDescent="0.25">
      <c r="B11" s="35" t="s">
        <v>35</v>
      </c>
      <c r="C11" s="36"/>
      <c r="D11" s="36">
        <v>533</v>
      </c>
      <c r="E11" s="36"/>
      <c r="F11" s="36"/>
      <c r="G11" s="36"/>
      <c r="H11" s="36">
        <v>2759</v>
      </c>
      <c r="I11" s="36">
        <v>3292</v>
      </c>
    </row>
    <row r="12" spans="1:15" ht="20.100000000000001" customHeight="1" x14ac:dyDescent="0.25">
      <c r="B12" s="35" t="s">
        <v>44</v>
      </c>
      <c r="C12" s="36">
        <v>3042</v>
      </c>
      <c r="D12" s="36">
        <v>6991</v>
      </c>
      <c r="E12" s="36">
        <v>3690</v>
      </c>
      <c r="F12" s="36">
        <v>4513</v>
      </c>
      <c r="G12" s="36">
        <v>3086</v>
      </c>
      <c r="H12" s="36"/>
      <c r="I12" s="36">
        <v>21322</v>
      </c>
    </row>
    <row r="13" spans="1:15" ht="20.100000000000001" customHeight="1" x14ac:dyDescent="0.25">
      <c r="B13" s="34" t="s">
        <v>542</v>
      </c>
      <c r="C13" s="36">
        <v>3042</v>
      </c>
      <c r="D13" s="36">
        <v>7524</v>
      </c>
      <c r="E13" s="36">
        <v>3690</v>
      </c>
      <c r="F13" s="36">
        <v>7220</v>
      </c>
      <c r="G13" s="36">
        <v>3086</v>
      </c>
      <c r="H13" s="36">
        <v>2759</v>
      </c>
      <c r="I13" s="36">
        <v>27321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609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17</v>
      </c>
    </row>
    <row r="2" spans="1:15" ht="76.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100000000000001" customHeight="1" x14ac:dyDescent="0.25"/>
    <row r="4" spans="1:15" ht="20.100000000000001" customHeight="1" x14ac:dyDescent="0.25">
      <c r="B4" s="33" t="s">
        <v>545</v>
      </c>
      <c r="C4" s="34">
        <v>2019</v>
      </c>
    </row>
    <row r="5" spans="1:15" ht="20.100000000000001" customHeight="1" x14ac:dyDescent="0.25"/>
    <row r="6" spans="1:15" ht="20.100000000000001" customHeight="1" x14ac:dyDescent="0.25">
      <c r="B6" s="33" t="s">
        <v>544</v>
      </c>
      <c r="C6" s="33" t="s">
        <v>543</v>
      </c>
    </row>
    <row r="7" spans="1:15" ht="20.100000000000001" customHeight="1" x14ac:dyDescent="0.25">
      <c r="C7">
        <v>0</v>
      </c>
      <c r="I7" t="s">
        <v>547</v>
      </c>
    </row>
    <row r="8" spans="1:15" ht="20.100000000000001" customHeight="1" x14ac:dyDescent="0.25">
      <c r="B8" s="33" t="s">
        <v>541</v>
      </c>
      <c r="C8">
        <v>1</v>
      </c>
      <c r="D8">
        <v>2</v>
      </c>
      <c r="E8">
        <v>4</v>
      </c>
      <c r="F8">
        <v>5</v>
      </c>
      <c r="G8">
        <v>6</v>
      </c>
      <c r="H8">
        <v>7</v>
      </c>
    </row>
    <row r="9" spans="1:15" ht="20.100000000000001" customHeight="1" x14ac:dyDescent="0.25">
      <c r="B9" s="34" t="s">
        <v>23</v>
      </c>
      <c r="C9" s="36">
        <v>1209</v>
      </c>
      <c r="D9" s="36">
        <v>1992</v>
      </c>
      <c r="E9" s="36">
        <v>4797</v>
      </c>
      <c r="F9" s="36">
        <v>6672</v>
      </c>
      <c r="G9" s="36">
        <v>1482</v>
      </c>
      <c r="H9" s="36">
        <v>4535</v>
      </c>
      <c r="I9" s="36">
        <v>20687</v>
      </c>
    </row>
    <row r="10" spans="1:15" ht="20.100000000000001" customHeight="1" x14ac:dyDescent="0.25">
      <c r="B10" s="35" t="s">
        <v>31</v>
      </c>
      <c r="C10" s="36"/>
      <c r="D10" s="36"/>
      <c r="E10" s="36"/>
      <c r="F10" s="36"/>
      <c r="G10" s="36"/>
      <c r="H10" s="36">
        <v>4535</v>
      </c>
      <c r="I10" s="36">
        <v>4535</v>
      </c>
    </row>
    <row r="11" spans="1:15" ht="20.100000000000001" customHeight="1" x14ac:dyDescent="0.25">
      <c r="B11" s="35" t="s">
        <v>32</v>
      </c>
      <c r="C11" s="36"/>
      <c r="D11" s="36"/>
      <c r="E11" s="36">
        <v>4797</v>
      </c>
      <c r="F11" s="36"/>
      <c r="G11" s="36"/>
      <c r="H11" s="36"/>
      <c r="I11" s="36">
        <v>4797</v>
      </c>
    </row>
    <row r="12" spans="1:15" ht="20.100000000000001" customHeight="1" x14ac:dyDescent="0.25">
      <c r="B12" s="35" t="s">
        <v>33</v>
      </c>
      <c r="C12" s="36"/>
      <c r="D12" s="36"/>
      <c r="E12" s="36"/>
      <c r="F12" s="36"/>
      <c r="G12" s="36">
        <v>1482</v>
      </c>
      <c r="H12" s="36"/>
      <c r="I12" s="36">
        <v>1482</v>
      </c>
    </row>
    <row r="13" spans="1:15" ht="20.100000000000001" customHeight="1" x14ac:dyDescent="0.25">
      <c r="B13" s="35" t="s">
        <v>34</v>
      </c>
      <c r="C13" s="36">
        <v>1209</v>
      </c>
      <c r="D13" s="36">
        <v>1992</v>
      </c>
      <c r="E13" s="36"/>
      <c r="F13" s="36">
        <v>2531</v>
      </c>
      <c r="G13" s="36"/>
      <c r="H13" s="36"/>
      <c r="I13" s="36">
        <v>5732</v>
      </c>
    </row>
    <row r="14" spans="1:15" ht="20.100000000000001" customHeight="1" x14ac:dyDescent="0.25">
      <c r="B14" s="35" t="s">
        <v>35</v>
      </c>
      <c r="C14" s="36"/>
      <c r="D14" s="36"/>
      <c r="E14" s="36"/>
      <c r="F14" s="36">
        <v>4141</v>
      </c>
      <c r="G14" s="36"/>
      <c r="H14" s="36"/>
      <c r="I14" s="36">
        <v>4141</v>
      </c>
    </row>
    <row r="15" spans="1:15" ht="20.100000000000001" customHeight="1" x14ac:dyDescent="0.25">
      <c r="B15" s="34" t="s">
        <v>542</v>
      </c>
      <c r="C15" s="36">
        <v>1209</v>
      </c>
      <c r="D15" s="36">
        <v>1992</v>
      </c>
      <c r="E15" s="36">
        <v>4797</v>
      </c>
      <c r="F15" s="36">
        <v>6672</v>
      </c>
      <c r="G15" s="36">
        <v>1482</v>
      </c>
      <c r="H15" s="36">
        <v>4535</v>
      </c>
      <c r="I15" s="36">
        <v>20687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609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18</v>
      </c>
    </row>
    <row r="2" spans="1:15" ht="56.2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37">
        <f ca="1">TODAY()</f>
        <v>44915</v>
      </c>
    </row>
    <row r="3" spans="1:15" ht="20.100000000000001" customHeight="1" x14ac:dyDescent="0.25"/>
    <row r="4" spans="1:15" ht="20.100000000000001" customHeight="1" x14ac:dyDescent="0.25">
      <c r="B4" s="33" t="s">
        <v>540</v>
      </c>
      <c r="C4" s="34">
        <v>2019</v>
      </c>
    </row>
    <row r="5" spans="1:15" ht="20.100000000000001" customHeight="1" x14ac:dyDescent="0.25"/>
    <row r="6" spans="1:15" ht="20.100000000000001" customHeight="1" x14ac:dyDescent="0.25">
      <c r="B6" s="33" t="s">
        <v>544</v>
      </c>
      <c r="C6" s="33" t="s">
        <v>543</v>
      </c>
    </row>
    <row r="7" spans="1:15" ht="20.100000000000001" customHeight="1" x14ac:dyDescent="0.25">
      <c r="C7" t="s">
        <v>549</v>
      </c>
      <c r="G7" t="s">
        <v>542</v>
      </c>
    </row>
    <row r="8" spans="1:15" ht="20.100000000000001" customHeight="1" x14ac:dyDescent="0.25">
      <c r="B8" s="33" t="s">
        <v>541</v>
      </c>
      <c r="C8">
        <v>1</v>
      </c>
      <c r="D8">
        <v>3</v>
      </c>
      <c r="E8">
        <v>4</v>
      </c>
      <c r="F8">
        <v>5</v>
      </c>
    </row>
    <row r="9" spans="1:15" ht="20.100000000000001" customHeight="1" x14ac:dyDescent="0.25">
      <c r="B9" s="34" t="s">
        <v>23</v>
      </c>
      <c r="C9" s="36">
        <v>1992</v>
      </c>
      <c r="D9" s="36">
        <v>4141</v>
      </c>
      <c r="E9" s="36">
        <v>4797</v>
      </c>
      <c r="F9" s="36">
        <v>2531</v>
      </c>
      <c r="G9" s="36">
        <v>13461</v>
      </c>
    </row>
    <row r="10" spans="1:15" ht="20.100000000000001" customHeight="1" x14ac:dyDescent="0.25">
      <c r="B10" s="35" t="s">
        <v>32</v>
      </c>
      <c r="C10" s="36"/>
      <c r="D10" s="36"/>
      <c r="E10" s="36">
        <v>4797</v>
      </c>
      <c r="F10" s="36"/>
      <c r="G10" s="36">
        <v>4797</v>
      </c>
    </row>
    <row r="11" spans="1:15" ht="20.100000000000001" customHeight="1" x14ac:dyDescent="0.25">
      <c r="B11" s="35" t="s">
        <v>34</v>
      </c>
      <c r="C11" s="36">
        <v>1992</v>
      </c>
      <c r="D11" s="36"/>
      <c r="E11" s="36"/>
      <c r="F11" s="36">
        <v>2531</v>
      </c>
      <c r="G11" s="36">
        <v>4523</v>
      </c>
    </row>
    <row r="12" spans="1:15" ht="20.100000000000001" customHeight="1" x14ac:dyDescent="0.25">
      <c r="B12" s="35" t="s">
        <v>35</v>
      </c>
      <c r="C12" s="36"/>
      <c r="D12" s="36">
        <v>4141</v>
      </c>
      <c r="E12" s="36"/>
      <c r="F12" s="36"/>
      <c r="G12" s="36">
        <v>4141</v>
      </c>
    </row>
    <row r="13" spans="1:15" ht="20.100000000000001" customHeight="1" x14ac:dyDescent="0.25">
      <c r="B13" s="34" t="s">
        <v>542</v>
      </c>
      <c r="C13" s="36">
        <v>1992</v>
      </c>
      <c r="D13" s="36">
        <v>4141</v>
      </c>
      <c r="E13" s="36">
        <v>4797</v>
      </c>
      <c r="F13" s="36">
        <v>2531</v>
      </c>
      <c r="G13" s="36">
        <v>13461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30"/>
  <sheetViews>
    <sheetView showGridLines="0" workbookViewId="0"/>
  </sheetViews>
  <sheetFormatPr defaultColWidth="0" defaultRowHeight="20.100000000000001" customHeight="1" x14ac:dyDescent="0.25"/>
  <cols>
    <col min="1" max="1" width="2.140625" style="38" customWidth="1"/>
    <col min="2" max="2" width="30.7109375" style="38" customWidth="1"/>
    <col min="3" max="3" width="1.7109375" style="38" customWidth="1"/>
    <col min="4" max="4" width="30.7109375" style="38" customWidth="1"/>
    <col min="5" max="5" width="5.7109375" style="38" customWidth="1"/>
    <col min="6" max="6" width="14.7109375" style="38" customWidth="1"/>
    <col min="7" max="7" width="17.85546875" style="38" customWidth="1"/>
    <col min="8" max="8" width="4.7109375" style="38" customWidth="1"/>
    <col min="9" max="9" width="34.42578125" style="38" customWidth="1"/>
    <col min="10" max="10" width="4.5703125" style="38" customWidth="1"/>
    <col min="11" max="11" width="37.7109375" style="38" customWidth="1"/>
    <col min="12" max="12" width="3" style="38" customWidth="1"/>
    <col min="13" max="15" width="9.140625" style="38" hidden="1" customWidth="1"/>
    <col min="16" max="17" width="0" style="38" hidden="1" customWidth="1"/>
    <col min="18" max="16384" width="9.140625" style="38" hidden="1"/>
  </cols>
  <sheetData>
    <row r="1" spans="1:11" customFormat="1" ht="39.950000000000003" customHeight="1" x14ac:dyDescent="0.25">
      <c r="A1" t="s">
        <v>6</v>
      </c>
      <c r="B1" s="3" t="s">
        <v>609</v>
      </c>
      <c r="C1" s="1"/>
      <c r="D1" s="1"/>
      <c r="E1" s="1"/>
      <c r="F1" s="1"/>
      <c r="G1" s="1"/>
      <c r="H1" s="1"/>
      <c r="I1" s="1"/>
      <c r="J1" s="1"/>
      <c r="K1" s="2" t="s">
        <v>601</v>
      </c>
    </row>
    <row r="2" spans="1:11" customFormat="1" ht="30" customHeight="1" x14ac:dyDescent="0.25">
      <c r="B2" s="5"/>
      <c r="C2" s="5"/>
      <c r="D2" s="5"/>
      <c r="E2" s="5"/>
      <c r="F2" s="5"/>
      <c r="G2" s="5"/>
      <c r="H2" s="5"/>
      <c r="I2" s="5"/>
      <c r="J2" s="5"/>
      <c r="K2" s="119">
        <v>2019</v>
      </c>
    </row>
    <row r="3" spans="1:11" ht="15" x14ac:dyDescent="0.25"/>
    <row r="4" spans="1:11" ht="18" customHeight="1" x14ac:dyDescent="0.25">
      <c r="B4" s="40" t="s">
        <v>598</v>
      </c>
      <c r="D4" s="41" t="s">
        <v>550</v>
      </c>
      <c r="F4" s="42"/>
      <c r="G4" s="43"/>
      <c r="H4" s="43"/>
      <c r="I4" s="44" t="s">
        <v>551</v>
      </c>
      <c r="J4" s="43"/>
      <c r="K4" s="45" t="s">
        <v>35</v>
      </c>
    </row>
    <row r="5" spans="1:11" ht="24.95" customHeight="1" x14ac:dyDescent="0.25">
      <c r="B5" s="73">
        <f>DashBoardFinanceiroAnualD!C11</f>
        <v>21057</v>
      </c>
      <c r="D5" s="86" t="s">
        <v>603</v>
      </c>
      <c r="F5" s="46"/>
      <c r="G5"/>
      <c r="H5"/>
      <c r="J5" s="47"/>
      <c r="K5" s="48"/>
    </row>
    <row r="6" spans="1:11" ht="5.25" customHeight="1" x14ac:dyDescent="0.25">
      <c r="F6" s="46"/>
      <c r="G6"/>
      <c r="H6"/>
      <c r="K6" s="48"/>
    </row>
    <row r="7" spans="1:11" ht="18" customHeight="1" x14ac:dyDescent="0.25">
      <c r="B7" s="40" t="s">
        <v>599</v>
      </c>
      <c r="D7" s="130"/>
      <c r="F7" s="46"/>
      <c r="G7"/>
      <c r="H7"/>
      <c r="K7" s="49" t="s">
        <v>552</v>
      </c>
    </row>
    <row r="8" spans="1:11" ht="24.95" customHeight="1" x14ac:dyDescent="0.25">
      <c r="B8" s="74">
        <f>DashBoardFinanceiroAnualD!D13</f>
        <v>27321</v>
      </c>
      <c r="D8" s="131"/>
      <c r="F8" s="46"/>
      <c r="G8"/>
      <c r="H8"/>
      <c r="K8" s="50">
        <f>SUM(DashBoardFinanceiroAnualD!J5:J16)</f>
        <v>15612</v>
      </c>
    </row>
    <row r="9" spans="1:11" ht="5.25" customHeight="1" x14ac:dyDescent="0.25">
      <c r="F9" s="46"/>
      <c r="G9"/>
      <c r="H9"/>
      <c r="K9" s="51"/>
    </row>
    <row r="10" spans="1:11" ht="18" customHeight="1" x14ac:dyDescent="0.25">
      <c r="B10" s="40" t="s">
        <v>600</v>
      </c>
      <c r="D10" s="130"/>
      <c r="F10" s="46"/>
      <c r="G10"/>
      <c r="H10"/>
      <c r="K10" s="51"/>
    </row>
    <row r="11" spans="1:11" ht="24.95" customHeight="1" x14ac:dyDescent="0.25">
      <c r="B11" s="75">
        <f>DashBoardFinanceiroAnualD!D14</f>
        <v>20687</v>
      </c>
      <c r="D11" s="131"/>
      <c r="F11" s="52"/>
      <c r="G11" s="53"/>
      <c r="H11" s="53"/>
      <c r="I11" s="54"/>
      <c r="J11" s="54"/>
      <c r="K11" s="55"/>
    </row>
    <row r="12" spans="1:11" ht="11.25" customHeight="1" x14ac:dyDescent="0.25">
      <c r="F12"/>
      <c r="G12"/>
      <c r="H12"/>
    </row>
    <row r="13" spans="1:11" ht="20.100000000000001" customHeight="1" x14ac:dyDescent="0.25">
      <c r="B13" s="127" t="s">
        <v>553</v>
      </c>
      <c r="C13" s="128"/>
      <c r="D13" s="129"/>
      <c r="F13" s="127" t="s">
        <v>554</v>
      </c>
      <c r="G13" s="129"/>
      <c r="H13"/>
      <c r="I13" s="56" t="s">
        <v>555</v>
      </c>
      <c r="K13" s="57" t="s">
        <v>556</v>
      </c>
    </row>
    <row r="14" spans="1:11" ht="20.100000000000001" customHeight="1" x14ac:dyDescent="0.25">
      <c r="B14" s="58"/>
      <c r="C14" s="59"/>
      <c r="D14" s="60"/>
      <c r="F14" s="58" t="s">
        <v>557</v>
      </c>
      <c r="G14" s="61" t="s">
        <v>558</v>
      </c>
      <c r="H14"/>
      <c r="I14" s="62">
        <f>DashBoardFinanceiroAnualD!E32</f>
        <v>-39131</v>
      </c>
      <c r="K14" s="63" t="s">
        <v>44</v>
      </c>
    </row>
    <row r="15" spans="1:11" ht="15.95" customHeight="1" x14ac:dyDescent="0.25">
      <c r="B15" s="58"/>
      <c r="D15" s="60"/>
      <c r="F15" s="81"/>
      <c r="G15" s="83"/>
      <c r="H15"/>
      <c r="I15" s="64"/>
      <c r="K15" s="65">
        <f>DashBoardFinanceiroAnualD!H44</f>
        <v>71155</v>
      </c>
    </row>
    <row r="16" spans="1:11" ht="20.100000000000001" customHeight="1" x14ac:dyDescent="0.25">
      <c r="B16" s="76">
        <f>DashBoardFinanceiroAnualD!E22</f>
        <v>130659</v>
      </c>
      <c r="D16" s="60"/>
      <c r="F16" s="84">
        <f ca="1">DashBoardFinanceiroAnualD!E27</f>
        <v>572.23529411764707</v>
      </c>
      <c r="G16" s="85">
        <f ca="1">DashBoardFinanceiroAnualD!J27</f>
        <v>903.91666666666663</v>
      </c>
      <c r="H16"/>
      <c r="I16" s="64"/>
      <c r="K16" s="66"/>
    </row>
    <row r="17" spans="2:11" ht="15.95" customHeight="1" x14ac:dyDescent="0.25">
      <c r="B17" s="76"/>
      <c r="D17" s="60"/>
      <c r="F17" s="82"/>
      <c r="G17" s="83"/>
      <c r="H17"/>
      <c r="I17" s="64"/>
      <c r="K17" s="66"/>
    </row>
    <row r="18" spans="2:11" ht="20.100000000000001" customHeight="1" x14ac:dyDescent="0.25">
      <c r="B18" s="58"/>
      <c r="D18" s="60"/>
      <c r="F18" s="79" t="s">
        <v>559</v>
      </c>
      <c r="G18" s="80" t="s">
        <v>559</v>
      </c>
      <c r="H18"/>
      <c r="I18" s="64"/>
      <c r="K18" s="66"/>
    </row>
    <row r="19" spans="2:11" ht="20.100000000000001" customHeight="1" x14ac:dyDescent="0.25">
      <c r="B19" s="67"/>
      <c r="C19" s="68"/>
      <c r="D19" s="69"/>
      <c r="F19" s="77"/>
      <c r="G19" s="78"/>
      <c r="H19"/>
      <c r="I19" s="70"/>
      <c r="K19" s="71"/>
    </row>
    <row r="20" spans="2:11" ht="20.100000000000001" customHeight="1" x14ac:dyDescent="0.25">
      <c r="F20"/>
      <c r="G20"/>
      <c r="H20"/>
    </row>
    <row r="21" spans="2:11" ht="20.100000000000001" customHeight="1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7" spans="2:11" ht="15" x14ac:dyDescent="0.25">
      <c r="D27" s="72"/>
    </row>
    <row r="30" spans="2:11" ht="15" x14ac:dyDescent="0.25">
      <c r="C30" s="72"/>
    </row>
  </sheetData>
  <mergeCells count="4">
    <mergeCell ref="B13:D13"/>
    <mergeCell ref="F13:G13"/>
    <mergeCell ref="D7:D8"/>
    <mergeCell ref="D10:D11"/>
  </mergeCells>
  <conditionalFormatting sqref="I14">
    <cfRule type="cellIs" dxfId="3" priority="1" operator="lessThan">
      <formula>0</formula>
    </cfRule>
  </conditionalFormatting>
  <dataValidations count="2">
    <dataValidation type="list" allowBlank="1" showInputMessage="1" showErrorMessage="1" errorTitle="Conta Inexisente!" error="Selecione um item da conta." sqref="K4" xr:uid="{00000000-0002-0000-0E00-000000000000}">
      <formula1>PCEntradasN2_Nível_2</formula1>
    </dataValidation>
    <dataValidation type="list" allowBlank="1" showInputMessage="1" showErrorMessage="1" errorTitle="Conta Inexistente!" error="Selecione uma conta da lista." sqref="K14" xr:uid="{00000000-0002-0000-0E00-000001000000}">
      <formula1>PCSaídasN2_Nível_2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E00-000001000000}">
          <x14:colorSeries rgb="FFFF0000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DashBoardFinanceiroAnualD!G5:G16</xm:f>
              <xm:sqref>D7</xm:sqref>
            </x14:sparkline>
          </x14:sparklines>
        </x14:sparklineGroup>
        <x14:sparklineGroup type="column" displayEmptyCellsAs="gap" xr2:uid="{00000000-0003-0000-0E00-000000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DashBoardFinanceiroAnualD!H5:H16</xm:f>
              <xm:sqref>D10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46"/>
  <sheetViews>
    <sheetView showGridLines="0" topLeftCell="A25" zoomScale="120" zoomScaleNormal="120" workbookViewId="0"/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87"/>
      <c r="B1" s="88" t="s">
        <v>560</v>
      </c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x14ac:dyDescent="0.2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x14ac:dyDescent="0.25">
      <c r="A3" s="87"/>
      <c r="B3" s="87"/>
      <c r="C3" s="87"/>
      <c r="D3" s="87"/>
      <c r="E3" s="87"/>
      <c r="F3" s="89" t="s">
        <v>582</v>
      </c>
      <c r="G3" s="87"/>
      <c r="H3" s="87"/>
      <c r="I3" s="87"/>
      <c r="J3" s="89" t="s">
        <v>597</v>
      </c>
      <c r="K3" s="95" t="s">
        <v>596</v>
      </c>
      <c r="L3" s="110">
        <f>C4</f>
        <v>2019</v>
      </c>
    </row>
    <row r="4" spans="1:12" x14ac:dyDescent="0.25">
      <c r="A4" s="87"/>
      <c r="B4" s="95" t="s">
        <v>595</v>
      </c>
      <c r="C4" s="118">
        <f>DashBoardFinanceiroAnual!K2</f>
        <v>2019</v>
      </c>
      <c r="D4" s="87"/>
      <c r="E4" s="87"/>
      <c r="F4" s="91" t="s">
        <v>561</v>
      </c>
      <c r="G4" s="92" t="s">
        <v>583</v>
      </c>
      <c r="H4" s="91" t="s">
        <v>584</v>
      </c>
      <c r="I4" s="87"/>
      <c r="J4" s="109" t="str">
        <f>DashBoardFinanceiroAnual!K4</f>
        <v>Som e imagem</v>
      </c>
      <c r="K4" s="91" t="s">
        <v>585</v>
      </c>
      <c r="L4" s="91" t="s">
        <v>561</v>
      </c>
    </row>
    <row r="5" spans="1:12" x14ac:dyDescent="0.25">
      <c r="A5" s="87"/>
      <c r="B5" s="87"/>
      <c r="C5" s="87"/>
      <c r="D5" s="87"/>
      <c r="E5" s="87"/>
      <c r="F5" s="90">
        <v>1</v>
      </c>
      <c r="G5" s="106">
        <f>SUMIFS(TbRegistroSaídas[Valor],TbRegistroSaídas[Mês Previsto],F5,TbRegistroSaídas[Ano Previsto],$C$4,TbRegistroSaídas[Data do Caixa Realizado],"")</f>
        <v>3042</v>
      </c>
      <c r="H5" s="106">
        <f>SUMIFS(TbRegistroEntradas[Valor],TbRegistroEntradas[Mês Previsto],F5,TbRegistroEntradas[Ano Previsto],$C$4,TbRegistroEntradas[Data do Caixa Realizado],"")</f>
        <v>1209</v>
      </c>
      <c r="I5" s="87"/>
      <c r="J5" s="106">
        <f>SUMIFS(TbRegistroEntradas[Valor],TbRegistroEntradas[Conta Nível 2],$J$4,TbRegistroEntradas[Ano Competência],$L$3,TbRegistroEntradas[Mês Competência],F5)</f>
        <v>2564</v>
      </c>
      <c r="K5" s="106">
        <f>IF(J5=0,NA(),J5)</f>
        <v>2564</v>
      </c>
      <c r="L5" s="93" t="s">
        <v>563</v>
      </c>
    </row>
    <row r="6" spans="1:12" x14ac:dyDescent="0.25">
      <c r="A6" s="87"/>
      <c r="B6" s="87"/>
      <c r="C6" s="87"/>
      <c r="D6" s="87"/>
      <c r="E6" s="87"/>
      <c r="F6" s="87">
        <v>2</v>
      </c>
      <c r="G6" s="107">
        <f>SUMIFS(TbRegistroSaídas[Valor],TbRegistroSaídas[Mês Previsto],F6,TbRegistroSaídas[Ano Previsto],$C$4,TbRegistroSaídas[Data do Caixa Realizado],"")</f>
        <v>7524</v>
      </c>
      <c r="H6" s="107">
        <f>SUMIFS(TbRegistroEntradas[Valor],TbRegistroEntradas[Mês Previsto],F6,TbRegistroEntradas[Ano Previsto],$C$4,TbRegistroEntradas[Data do Caixa Realizado],"")</f>
        <v>1992</v>
      </c>
      <c r="I6" s="87"/>
      <c r="J6" s="107">
        <f>SUMIFS(TbRegistroEntradas[Valor],TbRegistroEntradas[Conta Nível 2],$J$4,TbRegistroEntradas[Ano Competência],$L$3,TbRegistroEntradas[Mês Competência],F6)</f>
        <v>4732</v>
      </c>
      <c r="K6" s="107">
        <f t="shared" ref="K6:K16" si="0">IF(J6=0,NA(),J6)</f>
        <v>4732</v>
      </c>
      <c r="L6" s="95" t="s">
        <v>564</v>
      </c>
    </row>
    <row r="7" spans="1:12" x14ac:dyDescent="0.25">
      <c r="A7" s="87"/>
      <c r="B7" s="89" t="s">
        <v>586</v>
      </c>
      <c r="C7" s="87"/>
      <c r="D7" s="87"/>
      <c r="E7" s="87"/>
      <c r="F7" s="87">
        <v>3</v>
      </c>
      <c r="G7" s="107">
        <f>SUMIFS(TbRegistroSaídas[Valor],TbRegistroSaídas[Mês Previsto],F7,TbRegistroSaídas[Ano Previsto],$C$4,TbRegistroSaídas[Data do Caixa Realizado],"")</f>
        <v>0</v>
      </c>
      <c r="H7" s="107">
        <f>SUMIFS(TbRegistroEntradas[Valor],TbRegistroEntradas[Mês Previsto],F7,TbRegistroEntradas[Ano Previsto],$C$4,TbRegistroEntradas[Data do Caixa Realizado],"")</f>
        <v>0</v>
      </c>
      <c r="I7" s="87"/>
      <c r="J7" s="107">
        <f>SUMIFS(TbRegistroEntradas[Valor],TbRegistroEntradas[Conta Nível 2],$J$4,TbRegistroEntradas[Ano Competência],$L$3,TbRegistroEntradas[Mês Competência],F7)</f>
        <v>5489</v>
      </c>
      <c r="K7" s="107">
        <f t="shared" si="0"/>
        <v>5489</v>
      </c>
      <c r="L7" s="95" t="s">
        <v>565</v>
      </c>
    </row>
    <row r="8" spans="1:12" x14ac:dyDescent="0.25">
      <c r="A8" s="87"/>
      <c r="B8" s="90" t="s">
        <v>602</v>
      </c>
      <c r="C8" s="102">
        <f>SUMIFS(TbRegistroEntradas[Valor],TbRegistroEntradas[Ano Caixa],"&lt;"&amp;C4,TbRegistroEntradas[Ano Caixa],"&lt;&gt;0")-SUMIFS(TbRegistroSaídas[Valor],TbRegistroSaídas[Ano Caixa],"&lt;"&amp;C4,TbRegistroSaídas[Ano Caixa],"&lt;&gt;0")</f>
        <v>55108</v>
      </c>
      <c r="D8" s="87"/>
      <c r="E8" s="87"/>
      <c r="F8" s="87">
        <v>4</v>
      </c>
      <c r="G8" s="107">
        <f>SUMIFS(TbRegistroSaídas[Valor],TbRegistroSaídas[Mês Previsto],F8,TbRegistroSaídas[Ano Previsto],$C$4,TbRegistroSaídas[Data do Caixa Realizado],"")</f>
        <v>3690</v>
      </c>
      <c r="H8" s="107">
        <f>SUMIFS(TbRegistroEntradas[Valor],TbRegistroEntradas[Mês Previsto],F8,TbRegistroEntradas[Ano Previsto],$C$4,TbRegistroEntradas[Data do Caixa Realizado],"")</f>
        <v>4797</v>
      </c>
      <c r="I8" s="87"/>
      <c r="J8" s="107">
        <f>SUMIFS(TbRegistroEntradas[Valor],TbRegistroEntradas[Conta Nível 2],$J$4,TbRegistroEntradas[Ano Competência],$L$3,TbRegistroEntradas[Mês Competência],F8)</f>
        <v>618</v>
      </c>
      <c r="K8" s="107">
        <f t="shared" si="0"/>
        <v>618</v>
      </c>
      <c r="L8" s="95" t="s">
        <v>566</v>
      </c>
    </row>
    <row r="9" spans="1:12" x14ac:dyDescent="0.25">
      <c r="A9" s="87"/>
      <c r="B9" s="87" t="s">
        <v>572</v>
      </c>
      <c r="C9" s="103">
        <f>SUMIFS(TbRegistroEntradas[Valor],TbRegistroEntradas[Ano Caixa],"="&amp;C4)</f>
        <v>129286</v>
      </c>
      <c r="D9" s="87"/>
      <c r="E9" s="87"/>
      <c r="F9" s="87">
        <v>5</v>
      </c>
      <c r="G9" s="107">
        <f>SUMIFS(TbRegistroSaídas[Valor],TbRegistroSaídas[Mês Previsto],F9,TbRegistroSaídas[Ano Previsto],$C$4,TbRegistroSaídas[Data do Caixa Realizado],"")</f>
        <v>7220</v>
      </c>
      <c r="H9" s="107">
        <f>SUMIFS(TbRegistroEntradas[Valor],TbRegistroEntradas[Mês Previsto],F9,TbRegistroEntradas[Ano Previsto],$C$4,TbRegistroEntradas[Data do Caixa Realizado],"")</f>
        <v>6672</v>
      </c>
      <c r="I9" s="87"/>
      <c r="J9" s="107">
        <f>SUMIFS(TbRegistroEntradas[Valor],TbRegistroEntradas[Conta Nível 2],$J$4,TbRegistroEntradas[Ano Competência],$L$3,TbRegistroEntradas[Mês Competência],F9)</f>
        <v>1654</v>
      </c>
      <c r="K9" s="107">
        <f t="shared" si="0"/>
        <v>1654</v>
      </c>
      <c r="L9" s="95" t="s">
        <v>567</v>
      </c>
    </row>
    <row r="10" spans="1:12" x14ac:dyDescent="0.25">
      <c r="A10" s="87"/>
      <c r="B10" s="87" t="s">
        <v>575</v>
      </c>
      <c r="C10" s="103">
        <f>SUMIFS(TbRegistroSaídas[Valor],TbRegistroSaídas[Ano Caixa],"="&amp;C4)</f>
        <v>163337</v>
      </c>
      <c r="D10" s="87"/>
      <c r="E10" s="87"/>
      <c r="F10" s="87">
        <v>6</v>
      </c>
      <c r="G10" s="107">
        <f>SUMIFS(TbRegistroSaídas[Valor],TbRegistroSaídas[Mês Previsto],F10,TbRegistroSaídas[Ano Previsto],$C$4,TbRegistroSaídas[Data do Caixa Realizado],"")</f>
        <v>3086</v>
      </c>
      <c r="H10" s="107">
        <f>SUMIFS(TbRegistroEntradas[Valor],TbRegistroEntradas[Mês Previsto],F10,TbRegistroEntradas[Ano Previsto],$C$4,TbRegistroEntradas[Data do Caixa Realizado],"")</f>
        <v>1482</v>
      </c>
      <c r="I10" s="87"/>
      <c r="J10" s="107">
        <f>SUMIFS(TbRegistroEntradas[Valor],TbRegistroEntradas[Conta Nível 2],$J$4,TbRegistroEntradas[Ano Competência],$L$3,TbRegistroEntradas[Mês Competência],F10)</f>
        <v>555</v>
      </c>
      <c r="K10" s="107">
        <f t="shared" si="0"/>
        <v>555</v>
      </c>
      <c r="L10" s="95" t="s">
        <v>568</v>
      </c>
    </row>
    <row r="11" spans="1:12" x14ac:dyDescent="0.25">
      <c r="A11" s="87"/>
      <c r="B11" s="94" t="s">
        <v>587</v>
      </c>
      <c r="C11" s="104">
        <f>C8+C9-C10</f>
        <v>21057</v>
      </c>
      <c r="D11" s="87"/>
      <c r="E11" s="87"/>
      <c r="F11" s="87">
        <v>7</v>
      </c>
      <c r="G11" s="107">
        <f>SUMIFS(TbRegistroSaídas[Valor],TbRegistroSaídas[Mês Previsto],F11,TbRegistroSaídas[Ano Previsto],$C$4,TbRegistroSaídas[Data do Caixa Realizado],"")</f>
        <v>0</v>
      </c>
      <c r="H11" s="107">
        <f>SUMIFS(TbRegistroEntradas[Valor],TbRegistroEntradas[Mês Previsto],F11,TbRegistroEntradas[Ano Previsto],$C$4,TbRegistroEntradas[Data do Caixa Realizado],"")</f>
        <v>4535</v>
      </c>
      <c r="I11" s="87"/>
      <c r="J11" s="107">
        <f>SUMIFS(TbRegistroEntradas[Valor],TbRegistroEntradas[Conta Nível 2],$J$4,TbRegistroEntradas[Ano Competência],$L$3,TbRegistroEntradas[Mês Competência],F11)</f>
        <v>0</v>
      </c>
      <c r="K11" s="107" t="e">
        <f t="shared" si="0"/>
        <v>#N/A</v>
      </c>
      <c r="L11" s="95" t="s">
        <v>569</v>
      </c>
    </row>
    <row r="12" spans="1:12" x14ac:dyDescent="0.25">
      <c r="A12" s="87"/>
      <c r="B12" s="87"/>
      <c r="C12" s="87"/>
      <c r="D12" s="87"/>
      <c r="E12" s="87"/>
      <c r="F12" s="87">
        <v>8</v>
      </c>
      <c r="G12" s="107">
        <f>SUMIFS(TbRegistroSaídas[Valor],TbRegistroSaídas[Mês Previsto],F12,TbRegistroSaídas[Ano Previsto],$C$4,TbRegistroSaídas[Data do Caixa Realizado],"")</f>
        <v>2759</v>
      </c>
      <c r="H12" s="107">
        <f>SUMIFS(TbRegistroEntradas[Valor],TbRegistroEntradas[Mês Previsto],F12,TbRegistroEntradas[Ano Previsto],$C$4,TbRegistroEntradas[Data do Caixa Realizado],"")</f>
        <v>0</v>
      </c>
      <c r="I12" s="87"/>
      <c r="J12" s="107">
        <f>SUMIFS(TbRegistroEntradas[Valor],TbRegistroEntradas[Conta Nível 2],$J$4,TbRegistroEntradas[Ano Competência],$L$3,TbRegistroEntradas[Mês Competência],F12)</f>
        <v>0</v>
      </c>
      <c r="K12" s="107" t="e">
        <f t="shared" si="0"/>
        <v>#N/A</v>
      </c>
      <c r="L12" s="95" t="s">
        <v>571</v>
      </c>
    </row>
    <row r="13" spans="1:12" x14ac:dyDescent="0.25">
      <c r="A13" s="87"/>
      <c r="B13" s="96" t="s">
        <v>570</v>
      </c>
      <c r="C13" s="96"/>
      <c r="D13" s="102">
        <f>SUMIFS(TbRegistroSaídas[Valor],TbRegistroSaídas[Data do Caixa Realizado],"",TbRegistroSaídas[Ano Previsto],C4)</f>
        <v>27321</v>
      </c>
      <c r="E13" s="87"/>
      <c r="F13" s="87">
        <v>9</v>
      </c>
      <c r="G13" s="107">
        <f>SUMIFS(TbRegistroSaídas[Valor],TbRegistroSaídas[Mês Previsto],F13,TbRegistroSaídas[Ano Previsto],$C$4,TbRegistroSaídas[Data do Caixa Realizado],"")</f>
        <v>0</v>
      </c>
      <c r="H13" s="107">
        <f>SUMIFS(TbRegistroEntradas[Valor],TbRegistroEntradas[Mês Previsto],F13,TbRegistroEntradas[Ano Previsto],$C$4,TbRegistroEntradas[Data do Caixa Realizado],"")</f>
        <v>0</v>
      </c>
      <c r="I13" s="87"/>
      <c r="J13" s="107">
        <f>SUMIFS(TbRegistroEntradas[Valor],TbRegistroEntradas[Conta Nível 2],$J$4,TbRegistroEntradas[Ano Competência],$L$3,TbRegistroEntradas[Mês Competência],F13)</f>
        <v>0</v>
      </c>
      <c r="K13" s="107" t="e">
        <f t="shared" si="0"/>
        <v>#N/A</v>
      </c>
      <c r="L13" s="95" t="s">
        <v>574</v>
      </c>
    </row>
    <row r="14" spans="1:12" x14ac:dyDescent="0.25">
      <c r="A14" s="87"/>
      <c r="B14" s="97" t="s">
        <v>573</v>
      </c>
      <c r="C14" s="97"/>
      <c r="D14" s="105">
        <f>SUMIFS(TbRegistroEntradas[Valor],TbRegistroEntradas[Data do Caixa Realizado],"",TbRegistroEntradas[Ano Previsto],C4)</f>
        <v>20687</v>
      </c>
      <c r="E14" s="87"/>
      <c r="F14" s="87">
        <v>10</v>
      </c>
      <c r="G14" s="107">
        <f>SUMIFS(TbRegistroSaídas[Valor],TbRegistroSaídas[Mês Previsto],F14,TbRegistroSaídas[Ano Previsto],$C$4,TbRegistroSaídas[Data do Caixa Realizado],"")</f>
        <v>0</v>
      </c>
      <c r="H14" s="107">
        <f>SUMIFS(TbRegistroEntradas[Valor],TbRegistroEntradas[Mês Previsto],F14,TbRegistroEntradas[Ano Previsto],$C$4,TbRegistroEntradas[Data do Caixa Realizado],"")</f>
        <v>0</v>
      </c>
      <c r="I14" s="87"/>
      <c r="J14" s="107">
        <f>SUMIFS(TbRegistroEntradas[Valor],TbRegistroEntradas[Conta Nível 2],$J$4,TbRegistroEntradas[Ano Competência],$L$3,TbRegistroEntradas[Mês Competência],F14)</f>
        <v>0</v>
      </c>
      <c r="K14" s="107" t="e">
        <f t="shared" si="0"/>
        <v>#N/A</v>
      </c>
      <c r="L14" s="95" t="s">
        <v>576</v>
      </c>
    </row>
    <row r="15" spans="1:12" x14ac:dyDescent="0.25">
      <c r="A15" s="87"/>
      <c r="B15" s="87"/>
      <c r="C15" s="87"/>
      <c r="D15" s="87"/>
      <c r="E15" s="87"/>
      <c r="F15" s="87">
        <v>11</v>
      </c>
      <c r="G15" s="107">
        <f>SUMIFS(TbRegistroSaídas[Valor],TbRegistroSaídas[Mês Previsto],F15,TbRegistroSaídas[Ano Previsto],$C$4,TbRegistroSaídas[Data do Caixa Realizado],"")</f>
        <v>0</v>
      </c>
      <c r="H15" s="107">
        <f>SUMIFS(TbRegistroEntradas[Valor],TbRegistroEntradas[Mês Previsto],F15,TbRegistroEntradas[Ano Previsto],$C$4,TbRegistroEntradas[Data do Caixa Realizado],"")</f>
        <v>0</v>
      </c>
      <c r="I15" s="87"/>
      <c r="J15" s="107">
        <f>SUMIFS(TbRegistroEntradas[Valor],TbRegistroEntradas[Conta Nível 2],$J$4,TbRegistroEntradas[Ano Competência],$L$3,TbRegistroEntradas[Mês Competência],F15)</f>
        <v>0</v>
      </c>
      <c r="K15" s="107" t="e">
        <f t="shared" si="0"/>
        <v>#N/A</v>
      </c>
      <c r="L15" s="95" t="s">
        <v>577</v>
      </c>
    </row>
    <row r="16" spans="1:12" x14ac:dyDescent="0.25">
      <c r="A16" s="87"/>
      <c r="B16" s="87"/>
      <c r="C16" s="87"/>
      <c r="D16" s="87"/>
      <c r="E16" s="87"/>
      <c r="F16" s="94">
        <v>12</v>
      </c>
      <c r="G16" s="108">
        <f>SUMIFS(TbRegistroSaídas[Valor],TbRegistroSaídas[Mês Previsto],F16,TbRegistroSaídas[Ano Previsto],$C$4,TbRegistroSaídas[Data do Caixa Realizado],"")</f>
        <v>0</v>
      </c>
      <c r="H16" s="108">
        <f>SUMIFS(TbRegistroEntradas[Valor],TbRegistroEntradas[Mês Previsto],F16,TbRegistroEntradas[Ano Previsto],$C$4,TbRegistroEntradas[Data do Caixa Realizado],"")</f>
        <v>0</v>
      </c>
      <c r="I16" s="87"/>
      <c r="J16" s="108">
        <f>SUMIFS(TbRegistroEntradas[Valor],TbRegistroEntradas[Conta Nível 2],$J$4,TbRegistroEntradas[Ano Competência],$L$3,TbRegistroEntradas[Mês Competência],F16)</f>
        <v>0</v>
      </c>
      <c r="K16" s="108" t="e">
        <f t="shared" si="0"/>
        <v>#N/A</v>
      </c>
      <c r="L16" s="98" t="s">
        <v>578</v>
      </c>
    </row>
    <row r="17" spans="1:12" x14ac:dyDescent="0.25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</row>
    <row r="18" spans="1:12" x14ac:dyDescent="0.25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</row>
    <row r="19" spans="1:12" x14ac:dyDescent="0.25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</row>
    <row r="20" spans="1:12" x14ac:dyDescent="0.25">
      <c r="A20" s="87"/>
      <c r="B20" s="89" t="s">
        <v>588</v>
      </c>
      <c r="C20" s="87"/>
      <c r="D20" s="87"/>
      <c r="E20" s="99"/>
      <c r="F20" s="87"/>
      <c r="G20" s="87"/>
      <c r="H20" s="87"/>
      <c r="I20" s="87"/>
      <c r="J20" s="87"/>
      <c r="K20" s="87"/>
      <c r="L20" s="87"/>
    </row>
    <row r="21" spans="1:12" x14ac:dyDescent="0.25">
      <c r="A21" s="87"/>
      <c r="B21" s="91" t="s">
        <v>562</v>
      </c>
      <c r="C21" s="92" t="s">
        <v>589</v>
      </c>
      <c r="D21" s="92" t="s">
        <v>590</v>
      </c>
      <c r="E21" s="92" t="s">
        <v>552</v>
      </c>
      <c r="F21" s="87"/>
      <c r="G21" s="87"/>
      <c r="H21" s="87"/>
      <c r="I21" s="87"/>
      <c r="J21" s="87"/>
      <c r="K21" s="87"/>
      <c r="L21" s="87"/>
    </row>
    <row r="22" spans="1:12" x14ac:dyDescent="0.25">
      <c r="A22" s="87"/>
      <c r="B22" s="111">
        <f>C4</f>
        <v>2019</v>
      </c>
      <c r="C22" s="112">
        <f>SUMIFS(TbRegistroEntradas[Valor],TbRegistroEntradas[Venda à Vista],"Vista",TbRegistroEntradas[Ano Competência],B22)</f>
        <v>43768</v>
      </c>
      <c r="D22" s="112">
        <f>SUMIFS(TbRegistroEntradas[Valor],TbRegistroEntradas[Venda à Vista],"Prazo",TbRegistroEntradas[Ano Competência],B22)</f>
        <v>86891</v>
      </c>
      <c r="E22" s="112">
        <f>C22+D22</f>
        <v>130659</v>
      </c>
      <c r="F22" s="87"/>
      <c r="G22" s="87"/>
      <c r="H22" s="87"/>
      <c r="I22" s="87"/>
      <c r="J22" s="87"/>
      <c r="K22" s="87"/>
      <c r="L22" s="87"/>
    </row>
    <row r="23" spans="1:12" x14ac:dyDescent="0.25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</row>
    <row r="24" spans="1:12" x14ac:dyDescent="0.25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</row>
    <row r="25" spans="1:12" x14ac:dyDescent="0.25">
      <c r="A25" s="87"/>
      <c r="B25" s="89" t="s">
        <v>591</v>
      </c>
      <c r="C25" s="87"/>
      <c r="D25" s="87"/>
      <c r="E25" s="87"/>
      <c r="F25" s="87"/>
      <c r="G25" s="89" t="s">
        <v>592</v>
      </c>
      <c r="H25" s="87"/>
      <c r="I25" s="87"/>
      <c r="J25" s="87"/>
      <c r="K25" s="87"/>
      <c r="L25" s="87"/>
    </row>
    <row r="26" spans="1:12" x14ac:dyDescent="0.25">
      <c r="A26" s="87"/>
      <c r="B26" s="91" t="s">
        <v>562</v>
      </c>
      <c r="C26" s="92" t="s">
        <v>580</v>
      </c>
      <c r="D26" s="92" t="s">
        <v>559</v>
      </c>
      <c r="E26" s="92" t="s">
        <v>581</v>
      </c>
      <c r="F26" s="87"/>
      <c r="G26" s="91" t="s">
        <v>562</v>
      </c>
      <c r="H26" s="92" t="s">
        <v>580</v>
      </c>
      <c r="I26" s="92" t="s">
        <v>559</v>
      </c>
      <c r="J26" s="92" t="s">
        <v>581</v>
      </c>
      <c r="K26" s="87"/>
      <c r="L26" s="87"/>
    </row>
    <row r="27" spans="1:12" x14ac:dyDescent="0.25">
      <c r="A27" s="87"/>
      <c r="B27" s="111">
        <f>C4</f>
        <v>2019</v>
      </c>
      <c r="C27" s="113">
        <f ca="1">COUNTIFS(TbRegistroEntradas[Ano Competência],B27,TbRegistroEntradas[Dias de Atraso],"&gt;0")</f>
        <v>17</v>
      </c>
      <c r="D27" s="113">
        <f ca="1">SUMIFS(TbRegistroEntradas[Dias de Atraso],TbRegistroEntradas[Ano Competência],B27,TbRegistroEntradas[Dias de Atraso],"&gt;0")</f>
        <v>9728</v>
      </c>
      <c r="E27" s="113">
        <f ca="1">D27/C27</f>
        <v>572.23529411764707</v>
      </c>
      <c r="F27" s="87"/>
      <c r="G27" s="111">
        <f>C4</f>
        <v>2019</v>
      </c>
      <c r="H27" s="113">
        <f ca="1">COUNTIFS(TbRegistroSaídas[Ano Competência],G27,TbRegistroSaídas[Dias de Atraso],"&gt;0")</f>
        <v>12</v>
      </c>
      <c r="I27" s="113">
        <f ca="1">SUMIFS(TbRegistroSaídas[Dias de Atraso],TbRegistroSaídas[Ano Competência],G27,TbRegistroSaídas[Dias de Atraso],"&gt;0")</f>
        <v>10847</v>
      </c>
      <c r="J27" s="113">
        <f ca="1">I27/H27</f>
        <v>903.91666666666663</v>
      </c>
      <c r="K27" s="87"/>
      <c r="L27" s="87"/>
    </row>
    <row r="28" spans="1:12" x14ac:dyDescent="0.2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</row>
    <row r="29" spans="1:12" x14ac:dyDescent="0.2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</row>
    <row r="30" spans="1:12" x14ac:dyDescent="0.25">
      <c r="A30" s="87"/>
      <c r="B30" s="89" t="s">
        <v>593</v>
      </c>
      <c r="C30" s="87"/>
      <c r="D30" s="87"/>
      <c r="E30" s="87"/>
      <c r="F30" s="87"/>
      <c r="G30" s="89" t="s">
        <v>594</v>
      </c>
      <c r="H30" s="100">
        <f>C4</f>
        <v>2019</v>
      </c>
      <c r="I30" s="87"/>
      <c r="J30" s="87"/>
      <c r="K30" s="87"/>
      <c r="L30" s="87"/>
    </row>
    <row r="31" spans="1:12" x14ac:dyDescent="0.25">
      <c r="A31" s="87"/>
      <c r="B31" s="101" t="s">
        <v>562</v>
      </c>
      <c r="C31" s="93" t="s">
        <v>572</v>
      </c>
      <c r="D31" s="93" t="s">
        <v>575</v>
      </c>
      <c r="E31" s="93" t="s">
        <v>579</v>
      </c>
      <c r="F31" s="87"/>
      <c r="G31" s="91" t="s">
        <v>561</v>
      </c>
      <c r="H31" s="116" t="str">
        <f>DashBoardFinanceiroAnual!K14</f>
        <v>Vestuário</v>
      </c>
      <c r="I31" s="87"/>
      <c r="J31" s="87"/>
      <c r="K31" s="87"/>
      <c r="L31" s="87"/>
    </row>
    <row r="32" spans="1:12" x14ac:dyDescent="0.25">
      <c r="A32" s="87"/>
      <c r="B32" s="120">
        <f>C4</f>
        <v>2019</v>
      </c>
      <c r="C32" s="114">
        <f>SUMIFS(TbRegistroEntradas[Valor],TbRegistroEntradas[Ano Competência],B32)</f>
        <v>130659</v>
      </c>
      <c r="D32" s="114">
        <f>SUMIFS(TbRegistroSaídas[Valor],TbRegistroSaídas[Ano Competência],B32)</f>
        <v>169790</v>
      </c>
      <c r="E32" s="115">
        <f>C32-D32</f>
        <v>-39131</v>
      </c>
      <c r="F32" s="87"/>
      <c r="G32" s="87">
        <v>1</v>
      </c>
      <c r="H32" s="107">
        <f>SUMIFS(TbRegistroSaídas[Valor],TbRegistroSaídas[Conta Nível 2],$H$31,TbRegistroSaídas[Ano Competência],$H$30,TbRegistroSaídas[Mês Competência],G32)</f>
        <v>14690</v>
      </c>
      <c r="I32" s="87"/>
      <c r="J32" s="87"/>
      <c r="K32" s="87"/>
      <c r="L32" s="87"/>
    </row>
    <row r="33" spans="1:12" x14ac:dyDescent="0.25">
      <c r="A33" s="87"/>
      <c r="B33" s="87"/>
      <c r="C33" s="87"/>
      <c r="D33" s="87"/>
      <c r="E33" s="87"/>
      <c r="F33" s="87"/>
      <c r="G33" s="87">
        <v>2</v>
      </c>
      <c r="H33" s="107">
        <f>SUMIFS(TbRegistroSaídas[Valor],TbRegistroSaídas[Conta Nível 2],$H$31,TbRegistroSaídas[Ano Competência],$H$30,TbRegistroSaídas[Mês Competência],G33)</f>
        <v>6991</v>
      </c>
      <c r="I33" s="87"/>
      <c r="J33" s="87"/>
      <c r="K33" s="87"/>
      <c r="L33" s="87"/>
    </row>
    <row r="34" spans="1:12" x14ac:dyDescent="0.25">
      <c r="A34" s="87"/>
      <c r="B34" s="87"/>
      <c r="C34" s="87"/>
      <c r="D34" s="87"/>
      <c r="E34" s="87"/>
      <c r="F34" s="87"/>
      <c r="G34" s="87">
        <v>3</v>
      </c>
      <c r="H34" s="107">
        <f>SUMIFS(TbRegistroSaídas[Valor],TbRegistroSaídas[Conta Nível 2],$H$31,TbRegistroSaídas[Ano Competência],$H$30,TbRegistroSaídas[Mês Competência],G34)</f>
        <v>8219</v>
      </c>
      <c r="I34" s="87"/>
      <c r="J34" s="87"/>
      <c r="K34" s="87"/>
      <c r="L34" s="87"/>
    </row>
    <row r="35" spans="1:12" x14ac:dyDescent="0.25">
      <c r="A35" s="87"/>
      <c r="B35" s="87"/>
      <c r="C35" s="87"/>
      <c r="D35" s="87"/>
      <c r="E35" s="87"/>
      <c r="F35" s="87"/>
      <c r="G35" s="87">
        <v>4</v>
      </c>
      <c r="H35" s="107">
        <f>SUMIFS(TbRegistroSaídas[Valor],TbRegistroSaídas[Conta Nível 2],$H$31,TbRegistroSaídas[Ano Competência],$H$30,TbRegistroSaídas[Mês Competência],G35)</f>
        <v>19692</v>
      </c>
      <c r="I35" s="87"/>
      <c r="J35" s="87"/>
      <c r="K35" s="87"/>
      <c r="L35" s="87"/>
    </row>
    <row r="36" spans="1:12" x14ac:dyDescent="0.25">
      <c r="A36" s="87"/>
      <c r="B36" s="87"/>
      <c r="C36" s="87"/>
      <c r="D36" s="87"/>
      <c r="E36" s="87"/>
      <c r="F36" s="87"/>
      <c r="G36" s="87">
        <v>5</v>
      </c>
      <c r="H36" s="107">
        <f>SUMIFS(TbRegistroSaídas[Valor],TbRegistroSaídas[Conta Nível 2],$H$31,TbRegistroSaídas[Ano Competência],$H$30,TbRegistroSaídas[Mês Competência],G36)</f>
        <v>16406</v>
      </c>
      <c r="I36" s="87"/>
      <c r="J36" s="87"/>
      <c r="K36" s="87"/>
      <c r="L36" s="87"/>
    </row>
    <row r="37" spans="1:12" x14ac:dyDescent="0.25">
      <c r="A37" s="87"/>
      <c r="B37" s="87"/>
      <c r="C37" s="87"/>
      <c r="D37" s="87"/>
      <c r="E37" s="87"/>
      <c r="F37" s="87"/>
      <c r="G37" s="87">
        <v>6</v>
      </c>
      <c r="H37" s="107">
        <f>SUMIFS(TbRegistroSaídas[Valor],TbRegistroSaídas[Conta Nível 2],$H$31,TbRegistroSaídas[Ano Competência],$H$30,TbRegistroSaídas[Mês Competência],G37)</f>
        <v>5157</v>
      </c>
      <c r="I37" s="87"/>
      <c r="J37" s="87"/>
      <c r="K37" s="87"/>
      <c r="L37" s="87"/>
    </row>
    <row r="38" spans="1:12" x14ac:dyDescent="0.25">
      <c r="A38" s="87"/>
      <c r="B38" s="87"/>
      <c r="C38" s="87"/>
      <c r="D38" s="87"/>
      <c r="E38" s="87"/>
      <c r="F38" s="87"/>
      <c r="G38" s="87">
        <v>7</v>
      </c>
      <c r="H38" s="107">
        <f>SUMIFS(TbRegistroSaídas[Valor],TbRegistroSaídas[Conta Nível 2],$H$31,TbRegistroSaídas[Ano Competência],$H$30,TbRegistroSaídas[Mês Competência],G38)</f>
        <v>0</v>
      </c>
      <c r="I38" s="87"/>
      <c r="J38" s="87"/>
      <c r="K38" s="87"/>
      <c r="L38" s="87"/>
    </row>
    <row r="39" spans="1:12" x14ac:dyDescent="0.25">
      <c r="A39" s="87"/>
      <c r="B39" s="87"/>
      <c r="C39" s="87"/>
      <c r="D39" s="87"/>
      <c r="E39" s="87"/>
      <c r="F39" s="87"/>
      <c r="G39" s="87">
        <v>8</v>
      </c>
      <c r="H39" s="107">
        <f>SUMIFS(TbRegistroSaídas[Valor],TbRegistroSaídas[Conta Nível 2],$H$31,TbRegistroSaídas[Ano Competência],$H$30,TbRegistroSaídas[Mês Competência],G39)</f>
        <v>0</v>
      </c>
      <c r="I39" s="87"/>
      <c r="J39" s="87"/>
      <c r="K39" s="87"/>
      <c r="L39" s="87"/>
    </row>
    <row r="40" spans="1:12" x14ac:dyDescent="0.25">
      <c r="A40" s="87"/>
      <c r="B40" s="87"/>
      <c r="C40" s="87"/>
      <c r="D40" s="87"/>
      <c r="E40" s="87"/>
      <c r="F40" s="87"/>
      <c r="G40" s="87">
        <v>9</v>
      </c>
      <c r="H40" s="107">
        <f>SUMIFS(TbRegistroSaídas[Valor],TbRegistroSaídas[Conta Nível 2],$H$31,TbRegistroSaídas[Ano Competência],$H$30,TbRegistroSaídas[Mês Competência],G40)</f>
        <v>0</v>
      </c>
      <c r="I40" s="87"/>
      <c r="J40" s="87"/>
      <c r="K40" s="87"/>
      <c r="L40" s="87"/>
    </row>
    <row r="41" spans="1:12" x14ac:dyDescent="0.25">
      <c r="A41" s="87"/>
      <c r="B41" s="87"/>
      <c r="C41" s="87"/>
      <c r="D41" s="87"/>
      <c r="E41" s="87"/>
      <c r="F41" s="87"/>
      <c r="G41" s="87">
        <v>10</v>
      </c>
      <c r="H41" s="107">
        <f>SUMIFS(TbRegistroSaídas[Valor],TbRegistroSaídas[Conta Nível 2],$H$31,TbRegistroSaídas[Ano Competência],$H$30,TbRegistroSaídas[Mês Competência],G41)</f>
        <v>0</v>
      </c>
      <c r="I41" s="87"/>
      <c r="J41" s="87"/>
      <c r="K41" s="87"/>
      <c r="L41" s="87"/>
    </row>
    <row r="42" spans="1:12" x14ac:dyDescent="0.25">
      <c r="A42" s="87"/>
      <c r="B42" s="87"/>
      <c r="C42" s="87"/>
      <c r="D42" s="87"/>
      <c r="E42" s="87"/>
      <c r="F42" s="87"/>
      <c r="G42" s="87">
        <v>11</v>
      </c>
      <c r="H42" s="107">
        <f>SUMIFS(TbRegistroSaídas[Valor],TbRegistroSaídas[Conta Nível 2],$H$31,TbRegistroSaídas[Ano Competência],$H$30,TbRegistroSaídas[Mês Competência],G42)</f>
        <v>0</v>
      </c>
      <c r="I42" s="87"/>
      <c r="J42" s="87"/>
      <c r="K42" s="87"/>
      <c r="L42" s="87"/>
    </row>
    <row r="43" spans="1:12" x14ac:dyDescent="0.25">
      <c r="A43" s="87"/>
      <c r="B43" s="87"/>
      <c r="C43" s="87"/>
      <c r="D43" s="87"/>
      <c r="E43" s="87"/>
      <c r="F43" s="87"/>
      <c r="G43" s="94">
        <v>12</v>
      </c>
      <c r="H43" s="107">
        <f>SUMIFS(TbRegistroSaídas[Valor],TbRegistroSaídas[Conta Nível 2],$H$31,TbRegistroSaídas[Ano Competência],$H$30,TbRegistroSaídas[Mês Competência],G43)</f>
        <v>0</v>
      </c>
      <c r="I43" s="87"/>
      <c r="J43" s="87"/>
      <c r="K43" s="87"/>
      <c r="L43" s="87"/>
    </row>
    <row r="44" spans="1:12" x14ac:dyDescent="0.25">
      <c r="A44" s="87"/>
      <c r="B44" s="87"/>
      <c r="C44" s="87"/>
      <c r="D44" s="87"/>
      <c r="E44" s="87"/>
      <c r="F44" s="87"/>
      <c r="G44" s="91" t="s">
        <v>552</v>
      </c>
      <c r="H44" s="117">
        <f>SUM(H32:H43)</f>
        <v>71155</v>
      </c>
      <c r="I44" s="87"/>
      <c r="J44" s="87"/>
      <c r="K44" s="87"/>
      <c r="L44" s="87"/>
    </row>
    <row r="45" spans="1:12" x14ac:dyDescent="0.25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</row>
    <row r="46" spans="1:12" x14ac:dyDescent="0.25">
      <c r="G46" s="87"/>
      <c r="H46" s="87"/>
      <c r="I46" s="87"/>
      <c r="J46" s="87"/>
    </row>
  </sheetData>
  <conditionalFormatting sqref="C11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30"/>
  <sheetViews>
    <sheetView showGridLines="0" workbookViewId="0"/>
  </sheetViews>
  <sheetFormatPr defaultColWidth="0" defaultRowHeight="20.100000000000001" customHeight="1" x14ac:dyDescent="0.25"/>
  <cols>
    <col min="1" max="1" width="2.140625" style="38" customWidth="1"/>
    <col min="2" max="2" width="30.7109375" style="38" customWidth="1"/>
    <col min="3" max="3" width="1.7109375" style="38" customWidth="1"/>
    <col min="4" max="4" width="30.7109375" style="38" customWidth="1"/>
    <col min="5" max="5" width="5.7109375" style="38" customWidth="1"/>
    <col min="6" max="6" width="14.7109375" style="38" customWidth="1"/>
    <col min="7" max="7" width="17.85546875" style="38" customWidth="1"/>
    <col min="8" max="8" width="4.7109375" style="38" customWidth="1"/>
    <col min="9" max="9" width="34.42578125" style="38" customWidth="1"/>
    <col min="10" max="10" width="4.5703125" style="38" customWidth="1"/>
    <col min="11" max="11" width="37.7109375" style="38" customWidth="1"/>
    <col min="12" max="12" width="3" style="38" customWidth="1"/>
    <col min="13" max="15" width="9.140625" style="38" hidden="1" customWidth="1"/>
    <col min="16" max="17" width="0" style="38" hidden="1" customWidth="1"/>
    <col min="18" max="16384" width="9.140625" style="38" hidden="1"/>
  </cols>
  <sheetData>
    <row r="1" spans="1:11" customFormat="1" ht="39.950000000000003" customHeight="1" x14ac:dyDescent="0.25">
      <c r="A1" t="s">
        <v>6</v>
      </c>
      <c r="B1" s="3" t="s">
        <v>609</v>
      </c>
      <c r="C1" s="1"/>
      <c r="D1" s="1"/>
      <c r="E1" s="1"/>
      <c r="F1" s="1"/>
      <c r="G1" s="1"/>
      <c r="H1" s="1"/>
      <c r="I1" s="1"/>
      <c r="J1" s="1"/>
      <c r="K1" s="2" t="s">
        <v>608</v>
      </c>
    </row>
    <row r="2" spans="1:11" customFormat="1" ht="30" customHeight="1" x14ac:dyDescent="0.25">
      <c r="B2" s="5"/>
      <c r="C2" s="5"/>
      <c r="D2" s="5"/>
      <c r="E2" s="5"/>
      <c r="F2" s="5"/>
      <c r="G2" s="5"/>
      <c r="H2" s="5"/>
      <c r="I2" s="5"/>
      <c r="J2" s="5"/>
      <c r="K2" s="121">
        <v>43404</v>
      </c>
    </row>
    <row r="3" spans="1:11" ht="15" x14ac:dyDescent="0.25"/>
    <row r="4" spans="1:11" ht="18" customHeight="1" x14ac:dyDescent="0.25">
      <c r="B4" s="40" t="s">
        <v>598</v>
      </c>
      <c r="D4" s="41" t="s">
        <v>550</v>
      </c>
      <c r="F4" s="42"/>
      <c r="G4" s="43"/>
      <c r="H4" s="43"/>
      <c r="I4" s="44" t="s">
        <v>551</v>
      </c>
      <c r="J4" s="43"/>
      <c r="K4" s="45" t="s">
        <v>33</v>
      </c>
    </row>
    <row r="5" spans="1:11" ht="24.95" customHeight="1" x14ac:dyDescent="0.25">
      <c r="B5" s="73">
        <f>DashBoardFinanceiroAtualD!C11</f>
        <v>39552</v>
      </c>
      <c r="D5" s="86" t="s">
        <v>603</v>
      </c>
      <c r="F5" s="46"/>
      <c r="G5"/>
      <c r="H5"/>
      <c r="J5" s="47"/>
      <c r="K5" s="48"/>
    </row>
    <row r="6" spans="1:11" ht="5.25" customHeight="1" x14ac:dyDescent="0.25">
      <c r="F6" s="46"/>
      <c r="G6"/>
      <c r="H6"/>
      <c r="K6" s="48"/>
    </row>
    <row r="7" spans="1:11" ht="18" customHeight="1" x14ac:dyDescent="0.25">
      <c r="B7" s="40" t="s">
        <v>599</v>
      </c>
      <c r="D7" s="130"/>
      <c r="F7" s="46"/>
      <c r="G7"/>
      <c r="H7"/>
      <c r="K7" s="49" t="s">
        <v>552</v>
      </c>
    </row>
    <row r="8" spans="1:11" ht="24.95" customHeight="1" x14ac:dyDescent="0.25">
      <c r="B8" s="74">
        <f>DashBoardFinanceiroAtualD!D13</f>
        <v>42144</v>
      </c>
      <c r="D8" s="131"/>
      <c r="F8" s="46"/>
      <c r="G8"/>
      <c r="H8"/>
      <c r="K8" s="50">
        <f>SUM(DashBoardFinanceiroAtualD!J5:J16)</f>
        <v>25860</v>
      </c>
    </row>
    <row r="9" spans="1:11" ht="5.25" customHeight="1" x14ac:dyDescent="0.25">
      <c r="F9" s="46"/>
      <c r="G9"/>
      <c r="H9"/>
      <c r="K9" s="51"/>
    </row>
    <row r="10" spans="1:11" ht="18" customHeight="1" x14ac:dyDescent="0.25">
      <c r="B10" s="40" t="s">
        <v>600</v>
      </c>
      <c r="D10" s="130"/>
      <c r="F10" s="46"/>
      <c r="G10"/>
      <c r="H10"/>
      <c r="K10" s="51"/>
    </row>
    <row r="11" spans="1:11" ht="24.95" customHeight="1" x14ac:dyDescent="0.25">
      <c r="B11" s="75">
        <f>DashBoardFinanceiroAtualD!D14</f>
        <v>27421</v>
      </c>
      <c r="D11" s="131"/>
      <c r="F11" s="52"/>
      <c r="G11" s="53"/>
      <c r="H11" s="53"/>
      <c r="I11" s="54"/>
      <c r="J11" s="54"/>
      <c r="K11" s="55"/>
    </row>
    <row r="12" spans="1:11" ht="11.25" customHeight="1" x14ac:dyDescent="0.25">
      <c r="F12"/>
      <c r="G12"/>
      <c r="H12"/>
    </row>
    <row r="13" spans="1:11" ht="20.100000000000001" customHeight="1" x14ac:dyDescent="0.25">
      <c r="B13" s="127" t="s">
        <v>553</v>
      </c>
      <c r="C13" s="128"/>
      <c r="D13" s="129"/>
      <c r="F13" s="127" t="s">
        <v>554</v>
      </c>
      <c r="G13" s="129"/>
      <c r="H13"/>
      <c r="I13" s="56" t="s">
        <v>555</v>
      </c>
      <c r="K13" s="57" t="s">
        <v>556</v>
      </c>
    </row>
    <row r="14" spans="1:11" ht="20.100000000000001" customHeight="1" x14ac:dyDescent="0.25">
      <c r="B14" s="58"/>
      <c r="C14" s="59"/>
      <c r="D14" s="60"/>
      <c r="F14" s="58" t="s">
        <v>557</v>
      </c>
      <c r="G14" s="61" t="s">
        <v>558</v>
      </c>
      <c r="H14"/>
      <c r="I14" s="62">
        <f>DashBoardFinanceiroAtualD!E32</f>
        <v>11472</v>
      </c>
      <c r="K14" s="63" t="s">
        <v>44</v>
      </c>
    </row>
    <row r="15" spans="1:11" ht="15.95" customHeight="1" x14ac:dyDescent="0.25">
      <c r="B15" s="58"/>
      <c r="D15" s="60"/>
      <c r="F15" s="81"/>
      <c r="G15" s="83"/>
      <c r="H15"/>
      <c r="I15" s="64"/>
      <c r="K15" s="65">
        <f>DashBoardFinanceiroAtualD!H44</f>
        <v>96475</v>
      </c>
    </row>
    <row r="16" spans="1:11" ht="20.100000000000001" customHeight="1" x14ac:dyDescent="0.25">
      <c r="B16" s="76">
        <f>DashBoardFinanceiroAtualD!E22</f>
        <v>271771</v>
      </c>
      <c r="D16" s="60"/>
      <c r="F16" s="84">
        <f ca="1">DashBoardFinanceiroAtualD!E27</f>
        <v>544.40625</v>
      </c>
      <c r="G16" s="85">
        <f ca="1">DashBoardFinanceiroAtualD!J27</f>
        <v>1106.608695652174</v>
      </c>
      <c r="H16"/>
      <c r="I16" s="64"/>
      <c r="K16" s="66"/>
    </row>
    <row r="17" spans="2:11" ht="15.95" customHeight="1" x14ac:dyDescent="0.25">
      <c r="B17" s="76"/>
      <c r="D17" s="60"/>
      <c r="F17" s="82"/>
      <c r="G17" s="83"/>
      <c r="H17"/>
      <c r="I17" s="64"/>
      <c r="K17" s="66"/>
    </row>
    <row r="18" spans="2:11" ht="20.100000000000001" customHeight="1" x14ac:dyDescent="0.25">
      <c r="B18" s="58"/>
      <c r="D18" s="60"/>
      <c r="F18" s="79" t="s">
        <v>559</v>
      </c>
      <c r="G18" s="80" t="s">
        <v>559</v>
      </c>
      <c r="H18"/>
      <c r="I18" s="64"/>
      <c r="K18" s="66"/>
    </row>
    <row r="19" spans="2:11" ht="20.100000000000001" customHeight="1" x14ac:dyDescent="0.25">
      <c r="B19" s="67"/>
      <c r="C19" s="68"/>
      <c r="D19" s="69"/>
      <c r="F19" s="77"/>
      <c r="G19" s="78"/>
      <c r="H19"/>
      <c r="I19" s="70"/>
      <c r="K19" s="71"/>
    </row>
    <row r="20" spans="2:11" ht="20.100000000000001" customHeight="1" x14ac:dyDescent="0.25">
      <c r="F20"/>
      <c r="G20"/>
      <c r="H20"/>
    </row>
    <row r="21" spans="2:11" ht="20.100000000000001" customHeight="1" x14ac:dyDescent="0.25">
      <c r="B21" s="39"/>
      <c r="C21" s="39"/>
      <c r="D21" s="39"/>
      <c r="E21" s="39"/>
      <c r="F21" s="39"/>
      <c r="G21" s="39"/>
      <c r="H21" s="39"/>
      <c r="I21" s="39"/>
      <c r="J21" s="39"/>
      <c r="K21" s="39"/>
    </row>
    <row r="27" spans="2:11" ht="15" x14ac:dyDescent="0.25">
      <c r="D27" s="72"/>
    </row>
    <row r="30" spans="2:11" ht="15" x14ac:dyDescent="0.25">
      <c r="C30" s="72"/>
    </row>
  </sheetData>
  <mergeCells count="4">
    <mergeCell ref="D7:D8"/>
    <mergeCell ref="D10:D11"/>
    <mergeCell ref="B13:D13"/>
    <mergeCell ref="F13:G13"/>
  </mergeCells>
  <conditionalFormatting sqref="I14">
    <cfRule type="cellIs" dxfId="1" priority="1" operator="lessThan">
      <formula>0</formula>
    </cfRule>
  </conditionalFormatting>
  <dataValidations count="2">
    <dataValidation type="list" allowBlank="1" showInputMessage="1" showErrorMessage="1" errorTitle="Conta Inexistente!" error="Selecione uma conta da lista." sqref="K14" xr:uid="{00000000-0002-0000-1000-000000000000}">
      <formula1>PCSaídasN2_Nível_2</formula1>
    </dataValidation>
    <dataValidation type="list" allowBlank="1" showInputMessage="1" showErrorMessage="1" errorTitle="Conta Inexisente!" error="Selecione um item da conta." sqref="K4" xr:uid="{00000000-0002-0000-1000-000001000000}">
      <formula1>PCEntradasN2_Nível_2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10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DashBoardFinanceiroAtualD!H5:H16</xm:f>
              <xm:sqref>D10</xm:sqref>
            </x14:sparkline>
          </x14:sparklines>
        </x14:sparklineGroup>
        <x14:sparklineGroup type="column" displayEmptyCellsAs="gap" xr2:uid="{00000000-0003-0000-1000-000002000000}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DashBoardFinanceiroAtualD!G5:G16</xm:f>
              <xm:sqref>D7</xm:sqref>
            </x14:sparkline>
          </x14:sparklines>
        </x14:sparklineGroup>
      </x14:sparklineGroup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46"/>
  <sheetViews>
    <sheetView showGridLines="0" topLeftCell="A4" zoomScale="120" zoomScaleNormal="120" workbookViewId="0"/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87"/>
      <c r="B1" s="88" t="s">
        <v>607</v>
      </c>
      <c r="C1" s="88"/>
      <c r="D1" s="88"/>
      <c r="E1" s="88"/>
      <c r="F1" s="88"/>
      <c r="G1" s="88"/>
      <c r="H1" s="88"/>
      <c r="I1" s="88"/>
      <c r="J1" s="88"/>
      <c r="K1" s="88"/>
      <c r="L1" s="88"/>
    </row>
    <row r="2" spans="1:12" x14ac:dyDescent="0.25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x14ac:dyDescent="0.25">
      <c r="A3" s="87"/>
      <c r="B3" s="87"/>
      <c r="C3" s="87"/>
      <c r="D3" s="87"/>
      <c r="E3" s="87"/>
      <c r="F3" s="89" t="s">
        <v>582</v>
      </c>
      <c r="G3" s="87"/>
      <c r="H3" s="87"/>
      <c r="I3" s="87"/>
      <c r="J3" s="89" t="s">
        <v>597</v>
      </c>
      <c r="K3" s="95" t="s">
        <v>596</v>
      </c>
      <c r="L3" s="110">
        <f>C4</f>
        <v>2018</v>
      </c>
    </row>
    <row r="4" spans="1:12" x14ac:dyDescent="0.25">
      <c r="A4" s="87"/>
      <c r="B4" s="95" t="s">
        <v>595</v>
      </c>
      <c r="C4" s="118">
        <f>YEAR(DashBoardFinanceiroAtual!K2)</f>
        <v>2018</v>
      </c>
      <c r="D4" s="87"/>
      <c r="E4" s="87"/>
      <c r="F4" s="91" t="s">
        <v>561</v>
      </c>
      <c r="G4" s="92" t="s">
        <v>583</v>
      </c>
      <c r="H4" s="91" t="s">
        <v>584</v>
      </c>
      <c r="I4" s="87"/>
      <c r="J4" s="109" t="str">
        <f>DashBoardFinanceiroAtual!K4</f>
        <v>Livros</v>
      </c>
      <c r="K4" s="91" t="s">
        <v>585</v>
      </c>
      <c r="L4" s="91" t="s">
        <v>561</v>
      </c>
    </row>
    <row r="5" spans="1:12" x14ac:dyDescent="0.25">
      <c r="A5" s="87"/>
      <c r="B5" s="95" t="s">
        <v>606</v>
      </c>
      <c r="C5" s="122">
        <f>DashBoardFinanceiroAtual!K2</f>
        <v>43404</v>
      </c>
      <c r="D5" s="87"/>
      <c r="E5" s="87"/>
      <c r="F5" s="90">
        <v>1</v>
      </c>
      <c r="G5" s="106">
        <f>SUMIFS(TbRegistroSaídas[Valor],TbRegistroSaídas[Mês Previsto],F5,TbRegistroSaídas[Ano Previsto],$C$4,TbRegistroSaídas[Data do Caixa Realizado],"",TbRegistroSaídas[Data do Caixa Previsto],"&lt;="&amp;$C$5)</f>
        <v>6816</v>
      </c>
      <c r="H5" s="106">
        <f>SUMIFS(TbRegistroEntradas[Valor],TbRegistroEntradas[Mês Previsto],F5,TbRegistroEntradas[Ano Previsto],$C$4,TbRegistroEntradas[Data do Caixa Realizado],"",TbRegistroEntradas[Data do Caixa Previsto],"&lt;="&amp;$C$5)</f>
        <v>4843</v>
      </c>
      <c r="I5" s="87"/>
      <c r="J5" s="106">
        <f>SUMIFS(TbRegistroEntradas[Valor],TbRegistroEntradas[Conta Nível 2],$J$4,TbRegistroEntradas[Ano Competência],$L$3,TbRegistroEntradas[Mês Competência],F5,TbRegistroEntradas[Data da Competência],"&lt;="&amp;$C$5)</f>
        <v>0</v>
      </c>
      <c r="K5" s="106" t="e">
        <f>IF(J5=0,NA(),J5)</f>
        <v>#N/A</v>
      </c>
      <c r="L5" s="93" t="s">
        <v>563</v>
      </c>
    </row>
    <row r="6" spans="1:12" x14ac:dyDescent="0.25">
      <c r="A6" s="87"/>
      <c r="B6" s="87"/>
      <c r="C6" s="87"/>
      <c r="D6" s="87"/>
      <c r="E6" s="87"/>
      <c r="F6" s="87">
        <v>2</v>
      </c>
      <c r="G6" s="107">
        <f>SUMIFS(TbRegistroSaídas[Valor],TbRegistroSaídas[Mês Previsto],F6,TbRegistroSaídas[Ano Previsto],$C$4,TbRegistroSaídas[Data do Caixa Realizado],"",TbRegistroSaídas[Data do Caixa Previsto],"&lt;="&amp;$C$5)</f>
        <v>9291</v>
      </c>
      <c r="H6" s="107">
        <f>SUMIFS(TbRegistroEntradas[Valor],TbRegistroEntradas[Mês Previsto],F6,TbRegistroEntradas[Ano Previsto],$C$4,TbRegistroEntradas[Data do Caixa Realizado],"",TbRegistroEntradas[Data do Caixa Previsto],"&lt;="&amp;$C$5)</f>
        <v>1561</v>
      </c>
      <c r="I6" s="87"/>
      <c r="J6" s="107">
        <f>SUMIFS(TbRegistroEntradas[Valor],TbRegistroEntradas[Conta Nível 2],$J$4,TbRegistroEntradas[Ano Competência],$L$3,TbRegistroEntradas[Mês Competência],F6,TbRegistroEntradas[Data da Competência],"&lt;="&amp;$C$5)</f>
        <v>5718</v>
      </c>
      <c r="K6" s="107">
        <f t="shared" ref="K6:K16" si="0">IF(J6=0,NA(),J6)</f>
        <v>5718</v>
      </c>
      <c r="L6" s="95" t="s">
        <v>564</v>
      </c>
    </row>
    <row r="7" spans="1:12" x14ac:dyDescent="0.25">
      <c r="A7" s="87"/>
      <c r="B7" s="89" t="s">
        <v>586</v>
      </c>
      <c r="C7" s="87"/>
      <c r="D7" s="87"/>
      <c r="E7" s="87"/>
      <c r="F7" s="87">
        <v>3</v>
      </c>
      <c r="G7" s="107">
        <f>SUMIFS(TbRegistroSaídas[Valor],TbRegistroSaídas[Mês Previsto],F7,TbRegistroSaídas[Ano Previsto],$C$4,TbRegistroSaídas[Data do Caixa Realizado],"",TbRegistroSaídas[Data do Caixa Previsto],"&lt;="&amp;$C$5)</f>
        <v>0</v>
      </c>
      <c r="H7" s="107">
        <f>SUMIFS(TbRegistroEntradas[Valor],TbRegistroEntradas[Mês Previsto],F7,TbRegistroEntradas[Ano Previsto],$C$4,TbRegistroEntradas[Data do Caixa Realizado],"",TbRegistroEntradas[Data do Caixa Previsto],"&lt;="&amp;$C$5)</f>
        <v>964</v>
      </c>
      <c r="I7" s="87"/>
      <c r="J7" s="107">
        <f>SUMIFS(TbRegistroEntradas[Valor],TbRegistroEntradas[Conta Nível 2],$J$4,TbRegistroEntradas[Ano Competência],$L$3,TbRegistroEntradas[Mês Competência],F7,TbRegistroEntradas[Data da Competência],"&lt;="&amp;$C$5)</f>
        <v>4918</v>
      </c>
      <c r="K7" s="107">
        <f t="shared" si="0"/>
        <v>4918</v>
      </c>
      <c r="L7" s="95" t="s">
        <v>565</v>
      </c>
    </row>
    <row r="8" spans="1:12" x14ac:dyDescent="0.25">
      <c r="A8" s="87"/>
      <c r="B8" s="90" t="s">
        <v>602</v>
      </c>
      <c r="C8" s="102">
        <f>SUMIFS(TbRegistroEntradas[Valor],TbRegistroEntradas[Ano Caixa],"&lt;"&amp;C4,TbRegistroEntradas[Ano Caixa],"&lt;&gt;0")-SUMIFS(TbRegistroSaídas[Valor],TbRegistroSaídas[Ano Caixa],"&lt;"&amp;C4,TbRegistroSaídas[Ano Caixa],"&lt;&gt;0")</f>
        <v>-1041</v>
      </c>
      <c r="D8" s="87"/>
      <c r="E8" s="87"/>
      <c r="F8" s="87">
        <v>4</v>
      </c>
      <c r="G8" s="107">
        <f>SUMIFS(TbRegistroSaídas[Valor],TbRegistroSaídas[Mês Previsto],F8,TbRegistroSaídas[Ano Previsto],$C$4,TbRegistroSaídas[Data do Caixa Realizado],"",TbRegistroSaídas[Data do Caixa Previsto],"&lt;="&amp;$C$5)</f>
        <v>0</v>
      </c>
      <c r="H8" s="107">
        <f>SUMIFS(TbRegistroEntradas[Valor],TbRegistroEntradas[Mês Previsto],F8,TbRegistroEntradas[Ano Previsto],$C$4,TbRegistroEntradas[Data do Caixa Realizado],"",TbRegistroEntradas[Data do Caixa Previsto],"&lt;="&amp;$C$5)</f>
        <v>5975</v>
      </c>
      <c r="I8" s="87"/>
      <c r="J8" s="107">
        <f>SUMIFS(TbRegistroEntradas[Valor],TbRegistroEntradas[Conta Nível 2],$J$4,TbRegistroEntradas[Ano Competência],$L$3,TbRegistroEntradas[Mês Competência],F8,TbRegistroEntradas[Data da Competência],"&lt;="&amp;$C$5)</f>
        <v>3446</v>
      </c>
      <c r="K8" s="107">
        <f t="shared" si="0"/>
        <v>3446</v>
      </c>
      <c r="L8" s="95" t="s">
        <v>566</v>
      </c>
    </row>
    <row r="9" spans="1:12" x14ac:dyDescent="0.25">
      <c r="A9" s="87"/>
      <c r="B9" s="87" t="s">
        <v>572</v>
      </c>
      <c r="C9" s="103">
        <f>SUMIFS(TbRegistroEntradas[Valor],TbRegistroEntradas[Ano Caixa],"="&amp;C4,TbRegistroEntradas[Data do Caixa Realizado],"&lt;="&amp;C5)</f>
        <v>259662</v>
      </c>
      <c r="D9" s="87"/>
      <c r="E9" s="87"/>
      <c r="F9" s="87">
        <v>5</v>
      </c>
      <c r="G9" s="107">
        <f>SUMIFS(TbRegistroSaídas[Valor],TbRegistroSaídas[Mês Previsto],F9,TbRegistroSaídas[Ano Previsto],$C$4,TbRegistroSaídas[Data do Caixa Realizado],"",TbRegistroSaídas[Data do Caixa Previsto],"&lt;="&amp;$C$5)</f>
        <v>9778</v>
      </c>
      <c r="H9" s="107">
        <f>SUMIFS(TbRegistroEntradas[Valor],TbRegistroEntradas[Mês Previsto],F9,TbRegistroEntradas[Ano Previsto],$C$4,TbRegistroEntradas[Data do Caixa Realizado],"",TbRegistroEntradas[Data do Caixa Previsto],"&lt;="&amp;$C$5)</f>
        <v>0</v>
      </c>
      <c r="I9" s="87"/>
      <c r="J9" s="107">
        <f>SUMIFS(TbRegistroEntradas[Valor],TbRegistroEntradas[Conta Nível 2],$J$4,TbRegistroEntradas[Ano Competência],$L$3,TbRegistroEntradas[Mês Competência],F9,TbRegistroEntradas[Data da Competência],"&lt;="&amp;$C$5)</f>
        <v>611</v>
      </c>
      <c r="K9" s="107">
        <f t="shared" si="0"/>
        <v>611</v>
      </c>
      <c r="L9" s="95" t="s">
        <v>567</v>
      </c>
    </row>
    <row r="10" spans="1:12" x14ac:dyDescent="0.25">
      <c r="A10" s="87"/>
      <c r="B10" s="87" t="s">
        <v>575</v>
      </c>
      <c r="C10" s="103">
        <f>SUMIFS(TbRegistroSaídas[Valor],TbRegistroSaídas[Ano Caixa],"="&amp;C4,TbRegistroSaídas[Data do Caixa Realizado],"&lt;="&amp;C5)</f>
        <v>219069</v>
      </c>
      <c r="D10" s="87"/>
      <c r="E10" s="87"/>
      <c r="F10" s="87">
        <v>6</v>
      </c>
      <c r="G10" s="107">
        <f>SUMIFS(TbRegistroSaídas[Valor],TbRegistroSaídas[Mês Previsto],F10,TbRegistroSaídas[Ano Previsto],$C$4,TbRegistroSaídas[Data do Caixa Realizado],"",TbRegistroSaídas[Data do Caixa Previsto],"&lt;="&amp;$C$5)</f>
        <v>6321</v>
      </c>
      <c r="H10" s="107">
        <f>SUMIFS(TbRegistroEntradas[Valor],TbRegistroEntradas[Mês Previsto],F10,TbRegistroEntradas[Ano Previsto],$C$4,TbRegistroEntradas[Data do Caixa Realizado],"",TbRegistroEntradas[Data do Caixa Previsto],"&lt;="&amp;$C$5)</f>
        <v>2593</v>
      </c>
      <c r="I10" s="87"/>
      <c r="J10" s="107">
        <f>SUMIFS(TbRegistroEntradas[Valor],TbRegistroEntradas[Conta Nível 2],$J$4,TbRegistroEntradas[Ano Competência],$L$3,TbRegistroEntradas[Mês Competência],F10,TbRegistroEntradas[Data da Competência],"&lt;="&amp;$C$5)</f>
        <v>3224</v>
      </c>
      <c r="K10" s="107">
        <f t="shared" si="0"/>
        <v>3224</v>
      </c>
      <c r="L10" s="95" t="s">
        <v>568</v>
      </c>
    </row>
    <row r="11" spans="1:12" x14ac:dyDescent="0.25">
      <c r="A11" s="87"/>
      <c r="B11" s="94" t="s">
        <v>587</v>
      </c>
      <c r="C11" s="104">
        <f>C8+C9-C10</f>
        <v>39552</v>
      </c>
      <c r="D11" s="87"/>
      <c r="E11" s="87"/>
      <c r="F11" s="87">
        <v>7</v>
      </c>
      <c r="G11" s="107">
        <f>SUMIFS(TbRegistroSaídas[Valor],TbRegistroSaídas[Mês Previsto],F11,TbRegistroSaídas[Ano Previsto],$C$4,TbRegistroSaídas[Data do Caixa Realizado],"",TbRegistroSaídas[Data do Caixa Previsto],"&lt;="&amp;$C$5)</f>
        <v>6846</v>
      </c>
      <c r="H11" s="107">
        <f>SUMIFS(TbRegistroEntradas[Valor],TbRegistroEntradas[Mês Previsto],F11,TbRegistroEntradas[Ano Previsto],$C$4,TbRegistroEntradas[Data do Caixa Realizado],"",TbRegistroEntradas[Data do Caixa Previsto],"&lt;="&amp;$C$5)</f>
        <v>5627</v>
      </c>
      <c r="I11" s="87"/>
      <c r="J11" s="107">
        <f>SUMIFS(TbRegistroEntradas[Valor],TbRegistroEntradas[Conta Nível 2],$J$4,TbRegistroEntradas[Ano Competência],$L$3,TbRegistroEntradas[Mês Competência],F11,TbRegistroEntradas[Data da Competência],"&lt;="&amp;$C$5)</f>
        <v>1306</v>
      </c>
      <c r="K11" s="107">
        <f t="shared" si="0"/>
        <v>1306</v>
      </c>
      <c r="L11" s="95" t="s">
        <v>569</v>
      </c>
    </row>
    <row r="12" spans="1:12" x14ac:dyDescent="0.25">
      <c r="A12" s="87"/>
      <c r="B12" s="87"/>
      <c r="C12" s="87"/>
      <c r="D12" s="87"/>
      <c r="E12" s="87"/>
      <c r="F12" s="87">
        <v>8</v>
      </c>
      <c r="G12" s="107">
        <f>SUMIFS(TbRegistroSaídas[Valor],TbRegistroSaídas[Mês Previsto],F12,TbRegistroSaídas[Ano Previsto],$C$4,TbRegistroSaídas[Data do Caixa Realizado],"",TbRegistroSaídas[Data do Caixa Previsto],"&lt;="&amp;$C$5)</f>
        <v>0</v>
      </c>
      <c r="H12" s="107">
        <f>SUMIFS(TbRegistroEntradas[Valor],TbRegistroEntradas[Mês Previsto],F12,TbRegistroEntradas[Ano Previsto],$C$4,TbRegistroEntradas[Data do Caixa Realizado],"",TbRegistroEntradas[Data do Caixa Previsto],"&lt;="&amp;$C$5)</f>
        <v>0</v>
      </c>
      <c r="I12" s="87"/>
      <c r="J12" s="107">
        <f>SUMIFS(TbRegistroEntradas[Valor],TbRegistroEntradas[Conta Nível 2],$J$4,TbRegistroEntradas[Ano Competência],$L$3,TbRegistroEntradas[Mês Competência],F12,TbRegistroEntradas[Data da Competência],"&lt;="&amp;$C$5)</f>
        <v>0</v>
      </c>
      <c r="K12" s="107" t="e">
        <f t="shared" si="0"/>
        <v>#N/A</v>
      </c>
      <c r="L12" s="95" t="s">
        <v>571</v>
      </c>
    </row>
    <row r="13" spans="1:12" x14ac:dyDescent="0.25">
      <c r="A13" s="87"/>
      <c r="B13" s="96" t="s">
        <v>570</v>
      </c>
      <c r="C13" s="96"/>
      <c r="D13" s="102">
        <f>SUMIFS(TbRegistroSaídas[Valor],TbRegistroSaídas[Data do Caixa Realizado],"",TbRegistroSaídas[Ano Previsto],C4,TbRegistroSaídas[Data do Caixa Previsto],"&lt;="&amp;C5)</f>
        <v>42144</v>
      </c>
      <c r="E13" s="87"/>
      <c r="F13" s="87">
        <v>9</v>
      </c>
      <c r="G13" s="107">
        <f>SUMIFS(TbRegistroSaídas[Valor],TbRegistroSaídas[Mês Previsto],F13,TbRegistroSaídas[Ano Previsto],$C$4,TbRegistroSaídas[Data do Caixa Realizado],"",TbRegistroSaídas[Data do Caixa Previsto],"&lt;="&amp;$C$5)</f>
        <v>3092</v>
      </c>
      <c r="H13" s="107">
        <f>SUMIFS(TbRegistroEntradas[Valor],TbRegistroEntradas[Mês Previsto],F13,TbRegistroEntradas[Ano Previsto],$C$4,TbRegistroEntradas[Data do Caixa Realizado],"",TbRegistroEntradas[Data do Caixa Previsto],"&lt;="&amp;$C$5)</f>
        <v>2071</v>
      </c>
      <c r="I13" s="87"/>
      <c r="J13" s="107">
        <f>SUMIFS(TbRegistroEntradas[Valor],TbRegistroEntradas[Conta Nível 2],$J$4,TbRegistroEntradas[Ano Competência],$L$3,TbRegistroEntradas[Mês Competência],F13,TbRegistroEntradas[Data da Competência],"&lt;="&amp;$C$5)</f>
        <v>6637</v>
      </c>
      <c r="K13" s="107">
        <f t="shared" si="0"/>
        <v>6637</v>
      </c>
      <c r="L13" s="95" t="s">
        <v>574</v>
      </c>
    </row>
    <row r="14" spans="1:12" x14ac:dyDescent="0.25">
      <c r="A14" s="87"/>
      <c r="B14" s="97" t="s">
        <v>573</v>
      </c>
      <c r="C14" s="97"/>
      <c r="D14" s="105">
        <f>SUMIFS(TbRegistroEntradas[Valor],TbRegistroEntradas[Data do Caixa Realizado],"",TbRegistroEntradas[Ano Previsto],C4,TbRegistroEntradas[Data do Caixa Previsto],"&lt;="&amp;C5)</f>
        <v>27421</v>
      </c>
      <c r="E14" s="87"/>
      <c r="F14" s="87">
        <v>10</v>
      </c>
      <c r="G14" s="107">
        <f>SUMIFS(TbRegistroSaídas[Valor],TbRegistroSaídas[Mês Previsto],F14,TbRegistroSaídas[Ano Previsto],$C$4,TbRegistroSaídas[Data do Caixa Realizado],"",TbRegistroSaídas[Data do Caixa Previsto],"&lt;="&amp;$C$5)</f>
        <v>0</v>
      </c>
      <c r="H14" s="107">
        <f>SUMIFS(TbRegistroEntradas[Valor],TbRegistroEntradas[Mês Previsto],F14,TbRegistroEntradas[Ano Previsto],$C$4,TbRegistroEntradas[Data do Caixa Realizado],"",TbRegistroEntradas[Data do Caixa Previsto],"&lt;="&amp;$C$5)</f>
        <v>3787</v>
      </c>
      <c r="I14" s="87"/>
      <c r="J14" s="107">
        <f>SUMIFS(TbRegistroEntradas[Valor],TbRegistroEntradas[Conta Nível 2],$J$4,TbRegistroEntradas[Ano Competência],$L$3,TbRegistroEntradas[Mês Competência],F14,TbRegistroEntradas[Data da Competência],"&lt;="&amp;$C$5)</f>
        <v>0</v>
      </c>
      <c r="K14" s="107" t="e">
        <f t="shared" si="0"/>
        <v>#N/A</v>
      </c>
      <c r="L14" s="95" t="s">
        <v>576</v>
      </c>
    </row>
    <row r="15" spans="1:12" x14ac:dyDescent="0.25">
      <c r="A15" s="87"/>
      <c r="B15" s="87"/>
      <c r="C15" s="87"/>
      <c r="D15" s="87"/>
      <c r="E15" s="87"/>
      <c r="F15" s="87">
        <v>11</v>
      </c>
      <c r="G15" s="107">
        <f>SUMIFS(TbRegistroSaídas[Valor],TbRegistroSaídas[Mês Previsto],F15,TbRegistroSaídas[Ano Previsto],$C$4,TbRegistroSaídas[Data do Caixa Realizado],"",TbRegistroSaídas[Data do Caixa Previsto],"&lt;="&amp;$C$5)</f>
        <v>0</v>
      </c>
      <c r="H15" s="107">
        <f>SUMIFS(TbRegistroEntradas[Valor],TbRegistroEntradas[Mês Previsto],F15,TbRegistroEntradas[Ano Previsto],$C$4,TbRegistroEntradas[Data do Caixa Realizado],"",TbRegistroEntradas[Data do Caixa Previsto],"&lt;="&amp;$C$5)</f>
        <v>0</v>
      </c>
      <c r="I15" s="87"/>
      <c r="J15" s="107">
        <f>SUMIFS(TbRegistroEntradas[Valor],TbRegistroEntradas[Conta Nível 2],$J$4,TbRegistroEntradas[Ano Competência],$L$3,TbRegistroEntradas[Mês Competência],F15,TbRegistroEntradas[Data da Competência],"&lt;="&amp;$C$5)</f>
        <v>0</v>
      </c>
      <c r="K15" s="107" t="e">
        <f t="shared" si="0"/>
        <v>#N/A</v>
      </c>
      <c r="L15" s="95" t="s">
        <v>577</v>
      </c>
    </row>
    <row r="16" spans="1:12" x14ac:dyDescent="0.25">
      <c r="A16" s="87"/>
      <c r="B16" s="87"/>
      <c r="C16" s="87"/>
      <c r="D16" s="87"/>
      <c r="E16" s="87"/>
      <c r="F16" s="94">
        <v>12</v>
      </c>
      <c r="G16" s="108">
        <f>SUMIFS(TbRegistroSaídas[Valor],TbRegistroSaídas[Mês Previsto],F16,TbRegistroSaídas[Ano Previsto],$C$4,TbRegistroSaídas[Data do Caixa Realizado],"",TbRegistroSaídas[Data do Caixa Previsto],"&lt;="&amp;$C$5)</f>
        <v>0</v>
      </c>
      <c r="H16" s="108">
        <f>SUMIFS(TbRegistroEntradas[Valor],TbRegistroEntradas[Mês Previsto],F16,TbRegistroEntradas[Ano Previsto],$C$4,TbRegistroEntradas[Data do Caixa Realizado],"",TbRegistroEntradas[Data do Caixa Previsto],"&lt;="&amp;$C$5)</f>
        <v>0</v>
      </c>
      <c r="I16" s="87"/>
      <c r="J16" s="108">
        <f>SUMIFS(TbRegistroEntradas[Valor],TbRegistroEntradas[Conta Nível 2],$J$4,TbRegistroEntradas[Ano Competência],$L$3,TbRegistroEntradas[Mês Competência],F16,TbRegistroEntradas[Data da Competência],"&lt;="&amp;$C$5)</f>
        <v>0</v>
      </c>
      <c r="K16" s="108" t="e">
        <f t="shared" si="0"/>
        <v>#N/A</v>
      </c>
      <c r="L16" s="98" t="s">
        <v>578</v>
      </c>
    </row>
    <row r="17" spans="1:12" x14ac:dyDescent="0.25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</row>
    <row r="18" spans="1:12" x14ac:dyDescent="0.25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</row>
    <row r="19" spans="1:12" x14ac:dyDescent="0.25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</row>
    <row r="20" spans="1:12" x14ac:dyDescent="0.25">
      <c r="A20" s="87"/>
      <c r="B20" s="89" t="s">
        <v>588</v>
      </c>
      <c r="C20" s="87"/>
      <c r="D20" s="87"/>
      <c r="E20" s="99"/>
      <c r="F20" s="87"/>
      <c r="G20" s="87"/>
      <c r="H20" s="87"/>
      <c r="I20" s="87"/>
      <c r="J20" s="87"/>
      <c r="K20" s="87"/>
      <c r="L20" s="87"/>
    </row>
    <row r="21" spans="1:12" x14ac:dyDescent="0.25">
      <c r="A21" s="87"/>
      <c r="B21" s="91" t="s">
        <v>562</v>
      </c>
      <c r="C21" s="92" t="s">
        <v>589</v>
      </c>
      <c r="D21" s="92" t="s">
        <v>590</v>
      </c>
      <c r="E21" s="92" t="s">
        <v>552</v>
      </c>
      <c r="F21" s="87"/>
      <c r="G21" s="87"/>
      <c r="H21" s="87"/>
      <c r="I21" s="87"/>
      <c r="J21" s="87"/>
      <c r="K21" s="87"/>
      <c r="L21" s="87"/>
    </row>
    <row r="22" spans="1:12" x14ac:dyDescent="0.25">
      <c r="A22" s="87"/>
      <c r="B22" s="111">
        <f>C4</f>
        <v>2018</v>
      </c>
      <c r="C22" s="112">
        <f>SUMIFS(TbRegistroEntradas[Valor],TbRegistroEntradas[Venda à Vista],"Vista",TbRegistroEntradas[Ano Competência],B22,TbRegistroEntradas[Data da Competência],"&lt;="&amp;C5)</f>
        <v>82959</v>
      </c>
      <c r="D22" s="112">
        <f>SUMIFS(TbRegistroEntradas[Valor],TbRegistroEntradas[Venda à Vista],"Prazo",TbRegistroEntradas[Ano Competência],B22,TbRegistroEntradas[Data da Competência],"&lt;="&amp;C5)</f>
        <v>188812</v>
      </c>
      <c r="E22" s="112">
        <f>C22+D22</f>
        <v>271771</v>
      </c>
      <c r="F22" s="87"/>
      <c r="G22" s="87"/>
      <c r="H22" s="87"/>
      <c r="I22" s="87"/>
      <c r="J22" s="87"/>
      <c r="K22" s="87"/>
      <c r="L22" s="87"/>
    </row>
    <row r="23" spans="1:12" x14ac:dyDescent="0.25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</row>
    <row r="24" spans="1:12" x14ac:dyDescent="0.25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</row>
    <row r="25" spans="1:12" x14ac:dyDescent="0.25">
      <c r="A25" s="87"/>
      <c r="B25" s="89" t="s">
        <v>591</v>
      </c>
      <c r="C25" s="87"/>
      <c r="D25" s="87"/>
      <c r="E25" s="87"/>
      <c r="F25" s="87"/>
      <c r="G25" s="89" t="s">
        <v>592</v>
      </c>
      <c r="H25" s="87"/>
      <c r="I25" s="87"/>
      <c r="J25" s="87"/>
      <c r="K25" s="87"/>
      <c r="L25" s="87"/>
    </row>
    <row r="26" spans="1:12" x14ac:dyDescent="0.25">
      <c r="A26" s="87"/>
      <c r="B26" s="91" t="s">
        <v>562</v>
      </c>
      <c r="C26" s="92" t="s">
        <v>580</v>
      </c>
      <c r="D26" s="92" t="s">
        <v>559</v>
      </c>
      <c r="E26" s="92" t="s">
        <v>581</v>
      </c>
      <c r="F26" s="87"/>
      <c r="G26" s="91" t="s">
        <v>562</v>
      </c>
      <c r="H26" s="92" t="s">
        <v>580</v>
      </c>
      <c r="I26" s="92" t="s">
        <v>559</v>
      </c>
      <c r="J26" s="92" t="s">
        <v>581</v>
      </c>
      <c r="K26" s="87"/>
      <c r="L26" s="87"/>
    </row>
    <row r="27" spans="1:12" x14ac:dyDescent="0.25">
      <c r="A27" s="87"/>
      <c r="B27" s="111">
        <f>C4</f>
        <v>2018</v>
      </c>
      <c r="C27" s="113">
        <f ca="1">COUNTIFS(TbRegistroEntradas[Ano Competência],B27,TbRegistroEntradas[Dias de Atraso],"&gt;0",TbRegistroEntradas[Data da Competência],"&lt;="&amp;C5)</f>
        <v>32</v>
      </c>
      <c r="D27" s="113">
        <f ca="1">SUMIFS(TbRegistroEntradas[Dias de Atraso],TbRegistroEntradas[Ano Competência],B27,TbRegistroEntradas[Dias de Atraso],"&gt;0",TbRegistroEntradas[Data da Competência],"&lt;="&amp;C5)</f>
        <v>17421</v>
      </c>
      <c r="E27" s="113">
        <f ca="1">D27/C27</f>
        <v>544.40625</v>
      </c>
      <c r="F27" s="87"/>
      <c r="G27" s="111">
        <f>C4</f>
        <v>2018</v>
      </c>
      <c r="H27" s="113">
        <f ca="1">COUNTIFS(TbRegistroSaídas[Ano Competência],G27,TbRegistroSaídas[Dias de Atraso],"&gt;0",TbRegistroSaídas[Data da Competência],"&lt;="&amp;C5)</f>
        <v>23</v>
      </c>
      <c r="I27" s="113">
        <f ca="1">SUMIFS(TbRegistroSaídas[Dias de Atraso],TbRegistroSaídas[Ano Competência],G27,TbRegistroSaídas[Dias de Atraso],"&gt;0",TbRegistroSaídas[Data da Competência],"&lt;="&amp;C5)</f>
        <v>25452</v>
      </c>
      <c r="J27" s="113">
        <f ca="1">I27/H27</f>
        <v>1106.608695652174</v>
      </c>
      <c r="K27" s="87"/>
      <c r="L27" s="87"/>
    </row>
    <row r="28" spans="1:12" x14ac:dyDescent="0.25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</row>
    <row r="29" spans="1:12" x14ac:dyDescent="0.25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</row>
    <row r="30" spans="1:12" x14ac:dyDescent="0.25">
      <c r="A30" s="87"/>
      <c r="B30" s="89" t="s">
        <v>593</v>
      </c>
      <c r="C30" s="87"/>
      <c r="D30" s="87"/>
      <c r="E30" s="87"/>
      <c r="F30" s="87"/>
      <c r="G30" s="89" t="s">
        <v>594</v>
      </c>
      <c r="H30" s="100">
        <f>C4</f>
        <v>2018</v>
      </c>
      <c r="I30" s="87"/>
      <c r="J30" s="87"/>
      <c r="K30" s="87"/>
      <c r="L30" s="87"/>
    </row>
    <row r="31" spans="1:12" x14ac:dyDescent="0.25">
      <c r="A31" s="87"/>
      <c r="B31" s="101" t="s">
        <v>562</v>
      </c>
      <c r="C31" s="93" t="s">
        <v>572</v>
      </c>
      <c r="D31" s="93" t="s">
        <v>575</v>
      </c>
      <c r="E31" s="93" t="s">
        <v>579</v>
      </c>
      <c r="F31" s="87"/>
      <c r="G31" s="91" t="s">
        <v>561</v>
      </c>
      <c r="H31" s="116" t="str">
        <f>DashBoardFinanceiroAtual!K14</f>
        <v>Vestuário</v>
      </c>
      <c r="I31" s="87"/>
      <c r="J31" s="87"/>
      <c r="K31" s="87"/>
      <c r="L31" s="87"/>
    </row>
    <row r="32" spans="1:12" x14ac:dyDescent="0.25">
      <c r="A32" s="87"/>
      <c r="B32" s="120">
        <f>C4</f>
        <v>2018</v>
      </c>
      <c r="C32" s="114">
        <f>SUMIFS(TbRegistroEntradas[Valor],TbRegistroEntradas[Ano Competência],B32,TbRegistroEntradas[Data da Competência],"&lt;="&amp;C5)</f>
        <v>271771</v>
      </c>
      <c r="D32" s="114">
        <f>SUMIFS(TbRegistroSaídas[Valor],TbRegistroSaídas[Ano Competência],B32,TbRegistroSaídas[Data da Competência],"&lt;="&amp;C5)</f>
        <v>260299</v>
      </c>
      <c r="E32" s="115">
        <f>C32-D32</f>
        <v>11472</v>
      </c>
      <c r="F32" s="87"/>
      <c r="G32" s="87">
        <v>1</v>
      </c>
      <c r="H32" s="107">
        <f>SUMIFS(TbRegistroSaídas[Valor],TbRegistroSaídas[Conta Nível 2],$H$31,TbRegistroSaídas[Ano Competência],$H$30,TbRegistroSaídas[Mês Competência],G32,TbRegistroSaídas[Data da Competência],"&lt;="&amp;$C$5)</f>
        <v>17594</v>
      </c>
      <c r="I32" s="87"/>
      <c r="J32" s="87"/>
      <c r="K32" s="87"/>
      <c r="L32" s="87"/>
    </row>
    <row r="33" spans="1:12" x14ac:dyDescent="0.25">
      <c r="A33" s="87"/>
      <c r="B33" s="87"/>
      <c r="C33" s="87"/>
      <c r="D33" s="87"/>
      <c r="E33" s="87"/>
      <c r="F33" s="87"/>
      <c r="G33" s="87">
        <v>2</v>
      </c>
      <c r="H33" s="107">
        <f>SUMIFS(TbRegistroSaídas[Valor],TbRegistroSaídas[Conta Nível 2],$H$31,TbRegistroSaídas[Ano Competência],$H$30,TbRegistroSaídas[Mês Competência],G33,TbRegistroSaídas[Data da Competência],"&lt;="&amp;$C$5)</f>
        <v>10118</v>
      </c>
      <c r="I33" s="87"/>
      <c r="J33" s="87"/>
      <c r="K33" s="87"/>
      <c r="L33" s="87"/>
    </row>
    <row r="34" spans="1:12" x14ac:dyDescent="0.25">
      <c r="A34" s="87"/>
      <c r="B34" s="87"/>
      <c r="C34" s="87"/>
      <c r="D34" s="87"/>
      <c r="E34" s="87"/>
      <c r="F34" s="87"/>
      <c r="G34" s="87">
        <v>3</v>
      </c>
      <c r="H34" s="107">
        <f>SUMIFS(TbRegistroSaídas[Valor],TbRegistroSaídas[Conta Nível 2],$H$31,TbRegistroSaídas[Ano Competência],$H$30,TbRegistroSaídas[Mês Competência],G34,TbRegistroSaídas[Data da Competência],"&lt;="&amp;$C$5)</f>
        <v>13923</v>
      </c>
      <c r="I34" s="87"/>
      <c r="J34" s="87"/>
      <c r="K34" s="87"/>
      <c r="L34" s="87"/>
    </row>
    <row r="35" spans="1:12" x14ac:dyDescent="0.25">
      <c r="A35" s="87"/>
      <c r="B35" s="87"/>
      <c r="C35" s="87"/>
      <c r="D35" s="87"/>
      <c r="E35" s="87"/>
      <c r="F35" s="87"/>
      <c r="G35" s="87">
        <v>4</v>
      </c>
      <c r="H35" s="107">
        <f>SUMIFS(TbRegistroSaídas[Valor],TbRegistroSaídas[Conta Nível 2],$H$31,TbRegistroSaídas[Ano Competência],$H$30,TbRegistroSaídas[Mês Competência],G35,TbRegistroSaídas[Data da Competência],"&lt;="&amp;$C$5)</f>
        <v>4589</v>
      </c>
      <c r="I35" s="87"/>
      <c r="J35" s="87"/>
      <c r="K35" s="87"/>
      <c r="L35" s="87"/>
    </row>
    <row r="36" spans="1:12" x14ac:dyDescent="0.25">
      <c r="A36" s="87"/>
      <c r="B36" s="87"/>
      <c r="C36" s="87"/>
      <c r="D36" s="87"/>
      <c r="E36" s="87"/>
      <c r="F36" s="87"/>
      <c r="G36" s="87">
        <v>5</v>
      </c>
      <c r="H36" s="107">
        <f>SUMIFS(TbRegistroSaídas[Valor],TbRegistroSaídas[Conta Nível 2],$H$31,TbRegistroSaídas[Ano Competência],$H$30,TbRegistroSaídas[Mês Competência],G36,TbRegistroSaídas[Data da Competência],"&lt;="&amp;$C$5)</f>
        <v>11951</v>
      </c>
      <c r="I36" s="87"/>
      <c r="J36" s="87"/>
      <c r="K36" s="87"/>
      <c r="L36" s="87"/>
    </row>
    <row r="37" spans="1:12" x14ac:dyDescent="0.25">
      <c r="A37" s="87"/>
      <c r="B37" s="87"/>
      <c r="C37" s="87"/>
      <c r="D37" s="87"/>
      <c r="E37" s="87"/>
      <c r="F37" s="87"/>
      <c r="G37" s="87">
        <v>6</v>
      </c>
      <c r="H37" s="107">
        <f>SUMIFS(TbRegistroSaídas[Valor],TbRegistroSaídas[Conta Nível 2],$H$31,TbRegistroSaídas[Ano Competência],$H$30,TbRegistroSaídas[Mês Competência],G37,TbRegistroSaídas[Data da Competência],"&lt;="&amp;$C$5)</f>
        <v>9315</v>
      </c>
      <c r="I37" s="87"/>
      <c r="J37" s="87"/>
      <c r="K37" s="87"/>
      <c r="L37" s="87"/>
    </row>
    <row r="38" spans="1:12" x14ac:dyDescent="0.25">
      <c r="A38" s="87"/>
      <c r="B38" s="87"/>
      <c r="C38" s="87"/>
      <c r="D38" s="87"/>
      <c r="E38" s="87"/>
      <c r="F38" s="87"/>
      <c r="G38" s="87">
        <v>7</v>
      </c>
      <c r="H38" s="107">
        <f>SUMIFS(TbRegistroSaídas[Valor],TbRegistroSaídas[Conta Nível 2],$H$31,TbRegistroSaídas[Ano Competência],$H$30,TbRegistroSaídas[Mês Competência],G38,TbRegistroSaídas[Data da Competência],"&lt;="&amp;$C$5)</f>
        <v>10808</v>
      </c>
      <c r="I38" s="87"/>
      <c r="J38" s="87"/>
      <c r="K38" s="87"/>
      <c r="L38" s="87"/>
    </row>
    <row r="39" spans="1:12" x14ac:dyDescent="0.25">
      <c r="A39" s="87"/>
      <c r="B39" s="87"/>
      <c r="C39" s="87"/>
      <c r="D39" s="87"/>
      <c r="E39" s="87"/>
      <c r="F39" s="87"/>
      <c r="G39" s="87">
        <v>8</v>
      </c>
      <c r="H39" s="107">
        <f>SUMIFS(TbRegistroSaídas[Valor],TbRegistroSaídas[Conta Nível 2],$H$31,TbRegistroSaídas[Ano Competência],$H$30,TbRegistroSaídas[Mês Competência],G39,TbRegistroSaídas[Data da Competência],"&lt;="&amp;$C$5)</f>
        <v>1054</v>
      </c>
      <c r="I39" s="87"/>
      <c r="J39" s="87"/>
      <c r="K39" s="87"/>
      <c r="L39" s="87"/>
    </row>
    <row r="40" spans="1:12" x14ac:dyDescent="0.25">
      <c r="A40" s="87"/>
      <c r="B40" s="87"/>
      <c r="C40" s="87"/>
      <c r="D40" s="87"/>
      <c r="E40" s="87"/>
      <c r="F40" s="87"/>
      <c r="G40" s="87">
        <v>9</v>
      </c>
      <c r="H40" s="107">
        <f>SUMIFS(TbRegistroSaídas[Valor],TbRegistroSaídas[Conta Nível 2],$H$31,TbRegistroSaídas[Ano Competência],$H$30,TbRegistroSaídas[Mês Competência],G40,TbRegistroSaídas[Data da Competência],"&lt;="&amp;$C$5)</f>
        <v>10094</v>
      </c>
      <c r="I40" s="87"/>
      <c r="J40" s="87"/>
      <c r="K40" s="87"/>
      <c r="L40" s="87"/>
    </row>
    <row r="41" spans="1:12" x14ac:dyDescent="0.25">
      <c r="A41" s="87"/>
      <c r="B41" s="87"/>
      <c r="C41" s="87"/>
      <c r="D41" s="87"/>
      <c r="E41" s="87"/>
      <c r="F41" s="87"/>
      <c r="G41" s="87">
        <v>10</v>
      </c>
      <c r="H41" s="107">
        <f>SUMIFS(TbRegistroSaídas[Valor],TbRegistroSaídas[Conta Nível 2],$H$31,TbRegistroSaídas[Ano Competência],$H$30,TbRegistroSaídas[Mês Competência],G41,TbRegistroSaídas[Data da Competência],"&lt;="&amp;$C$5)</f>
        <v>7029</v>
      </c>
      <c r="I41" s="87"/>
      <c r="J41" s="87"/>
      <c r="K41" s="87"/>
      <c r="L41" s="87"/>
    </row>
    <row r="42" spans="1:12" x14ac:dyDescent="0.25">
      <c r="A42" s="87"/>
      <c r="B42" s="87"/>
      <c r="C42" s="87"/>
      <c r="D42" s="87"/>
      <c r="E42" s="87"/>
      <c r="F42" s="87"/>
      <c r="G42" s="87">
        <v>11</v>
      </c>
      <c r="H42" s="107">
        <f>SUMIFS(TbRegistroSaídas[Valor],TbRegistroSaídas[Conta Nível 2],$H$31,TbRegistroSaídas[Ano Competência],$H$30,TbRegistroSaídas[Mês Competência],G42,TbRegistroSaídas[Data da Competência],"&lt;="&amp;$C$5)</f>
        <v>0</v>
      </c>
      <c r="I42" s="87"/>
      <c r="J42" s="87"/>
      <c r="K42" s="87"/>
      <c r="L42" s="87"/>
    </row>
    <row r="43" spans="1:12" x14ac:dyDescent="0.25">
      <c r="A43" s="87"/>
      <c r="B43" s="87"/>
      <c r="C43" s="87"/>
      <c r="D43" s="87"/>
      <c r="E43" s="87"/>
      <c r="F43" s="87"/>
      <c r="G43" s="94">
        <v>12</v>
      </c>
      <c r="H43" s="107">
        <f>SUMIFS(TbRegistroSaídas[Valor],TbRegistroSaídas[Conta Nível 2],$H$31,TbRegistroSaídas[Ano Competência],$H$30,TbRegistroSaídas[Mês Competência],G43,TbRegistroSaídas[Data da Competência],"&lt;="&amp;$C$5)</f>
        <v>0</v>
      </c>
      <c r="I43" s="87"/>
      <c r="J43" s="87"/>
      <c r="K43" s="87"/>
      <c r="L43" s="87"/>
    </row>
    <row r="44" spans="1:12" x14ac:dyDescent="0.25">
      <c r="A44" s="87"/>
      <c r="B44" s="87"/>
      <c r="C44" s="87"/>
      <c r="D44" s="87"/>
      <c r="E44" s="87"/>
      <c r="F44" s="87"/>
      <c r="G44" s="91" t="s">
        <v>552</v>
      </c>
      <c r="H44" s="117">
        <f>SUM(H32:H43)</f>
        <v>96475</v>
      </c>
      <c r="I44" s="87"/>
      <c r="J44" s="87"/>
      <c r="K44" s="87"/>
      <c r="L44" s="87"/>
    </row>
    <row r="45" spans="1:12" x14ac:dyDescent="0.25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</row>
    <row r="46" spans="1:12" x14ac:dyDescent="0.25">
      <c r="G46" s="87"/>
      <c r="H46" s="87"/>
      <c r="I46" s="87"/>
      <c r="J46" s="87"/>
    </row>
  </sheetData>
  <conditionalFormatting sqref="C1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609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7" t="s">
        <v>24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6" t="s">
        <v>25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B5" t="s">
        <v>19</v>
      </c>
    </row>
    <row r="6" spans="1:14" ht="20.100000000000001" customHeight="1" x14ac:dyDescent="0.25">
      <c r="B6" t="s">
        <v>20</v>
      </c>
    </row>
    <row r="7" spans="1:14" ht="20.100000000000001" customHeight="1" x14ac:dyDescent="0.25">
      <c r="B7" t="s">
        <v>21</v>
      </c>
    </row>
    <row r="8" spans="1:14" ht="20.100000000000001" customHeight="1" x14ac:dyDescent="0.25">
      <c r="B8" t="s">
        <v>22</v>
      </c>
    </row>
    <row r="9" spans="1:14" ht="20.100000000000001" customHeight="1" x14ac:dyDescent="0.25">
      <c r="B9" t="s">
        <v>23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609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124" t="s">
        <v>26</v>
      </c>
      <c r="C3" s="12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6" t="s">
        <v>25</v>
      </c>
      <c r="C4" s="6" t="s">
        <v>27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B5" t="s">
        <v>19</v>
      </c>
      <c r="C5" t="s">
        <v>28</v>
      </c>
    </row>
    <row r="6" spans="1:14" ht="20.100000000000001" customHeight="1" x14ac:dyDescent="0.25">
      <c r="B6" t="s">
        <v>21</v>
      </c>
      <c r="C6" t="s">
        <v>29</v>
      </c>
    </row>
    <row r="7" spans="1:14" ht="20.100000000000001" customHeight="1" x14ac:dyDescent="0.25">
      <c r="B7" t="s">
        <v>22</v>
      </c>
      <c r="C7" t="s">
        <v>30</v>
      </c>
    </row>
    <row r="8" spans="1:14" ht="20.100000000000001" customHeight="1" x14ac:dyDescent="0.25">
      <c r="B8" t="s">
        <v>23</v>
      </c>
      <c r="C8" t="s">
        <v>31</v>
      </c>
    </row>
    <row r="9" spans="1:14" ht="20.100000000000001" customHeight="1" x14ac:dyDescent="0.25">
      <c r="B9" t="s">
        <v>23</v>
      </c>
      <c r="C9" t="s">
        <v>32</v>
      </c>
    </row>
    <row r="10" spans="1:14" ht="20.100000000000001" customHeight="1" x14ac:dyDescent="0.25">
      <c r="B10" t="s">
        <v>23</v>
      </c>
      <c r="C10" t="s">
        <v>33</v>
      </c>
    </row>
    <row r="11" spans="1:14" ht="20.100000000000001" customHeight="1" x14ac:dyDescent="0.25">
      <c r="B11" t="s">
        <v>23</v>
      </c>
      <c r="C11" t="s">
        <v>34</v>
      </c>
    </row>
    <row r="12" spans="1:14" ht="20.100000000000001" customHeight="1" x14ac:dyDescent="0.25">
      <c r="B12" t="s">
        <v>23</v>
      </c>
      <c r="C12" t="s">
        <v>35</v>
      </c>
    </row>
    <row r="13" spans="1:14" ht="20.100000000000001" customHeight="1" x14ac:dyDescent="0.25">
      <c r="B13" t="s">
        <v>20</v>
      </c>
      <c r="C13" t="s">
        <v>58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 xr:uid="{00000000-0002-0000-0300-000000000000}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609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10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7" t="s">
        <v>36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6" t="s">
        <v>25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B5" t="s">
        <v>37</v>
      </c>
    </row>
    <row r="6" spans="1:14" ht="20.100000000000001" customHeight="1" x14ac:dyDescent="0.25">
      <c r="B6" t="s">
        <v>38</v>
      </c>
    </row>
    <row r="7" spans="1:14" ht="20.100000000000001" customHeight="1" x14ac:dyDescent="0.25">
      <c r="B7" t="s">
        <v>39</v>
      </c>
    </row>
    <row r="8" spans="1:14" ht="20.100000000000001" customHeight="1" x14ac:dyDescent="0.25">
      <c r="B8" t="s">
        <v>40</v>
      </c>
    </row>
    <row r="9" spans="1:14" ht="20.100000000000001" customHeight="1" x14ac:dyDescent="0.25">
      <c r="B9" t="s">
        <v>41</v>
      </c>
    </row>
    <row r="10" spans="1:14" ht="20.100000000000001" customHeight="1" x14ac:dyDescent="0.25">
      <c r="B10" t="s">
        <v>42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"/>
  <sheetViews>
    <sheetView showGridLines="0" workbookViewId="0">
      <pane ySplit="4" topLeftCell="A5" activePane="bottomLeft" state="frozen"/>
      <selection pane="bottomLeft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609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11</v>
      </c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124" t="s">
        <v>43</v>
      </c>
      <c r="C3" s="12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6" t="s">
        <v>25</v>
      </c>
      <c r="C4" s="6" t="s">
        <v>27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B5" t="s">
        <v>37</v>
      </c>
      <c r="C5" t="s">
        <v>31</v>
      </c>
    </row>
    <row r="6" spans="1:14" ht="20.100000000000001" customHeight="1" x14ac:dyDescent="0.25">
      <c r="B6" t="s">
        <v>37</v>
      </c>
      <c r="C6" t="s">
        <v>32</v>
      </c>
    </row>
    <row r="7" spans="1:14" ht="20.100000000000001" customHeight="1" x14ac:dyDescent="0.25">
      <c r="B7" t="s">
        <v>37</v>
      </c>
      <c r="C7" t="s">
        <v>33</v>
      </c>
    </row>
    <row r="8" spans="1:14" ht="20.100000000000001" customHeight="1" x14ac:dyDescent="0.25">
      <c r="B8" t="s">
        <v>37</v>
      </c>
      <c r="C8" t="s">
        <v>35</v>
      </c>
    </row>
    <row r="9" spans="1:14" ht="20.100000000000001" customHeight="1" x14ac:dyDescent="0.25">
      <c r="B9" t="s">
        <v>37</v>
      </c>
      <c r="C9" t="s">
        <v>44</v>
      </c>
    </row>
    <row r="10" spans="1:14" ht="20.100000000000001" customHeight="1" x14ac:dyDescent="0.25">
      <c r="B10" t="s">
        <v>38</v>
      </c>
      <c r="C10" t="s">
        <v>45</v>
      </c>
    </row>
    <row r="11" spans="1:14" ht="20.100000000000001" customHeight="1" x14ac:dyDescent="0.25">
      <c r="B11" t="s">
        <v>38</v>
      </c>
      <c r="C11" t="s">
        <v>46</v>
      </c>
    </row>
    <row r="12" spans="1:14" ht="20.100000000000001" customHeight="1" x14ac:dyDescent="0.25">
      <c r="B12" t="s">
        <v>39</v>
      </c>
      <c r="C12" t="s">
        <v>47</v>
      </c>
    </row>
    <row r="13" spans="1:14" ht="20.100000000000001" customHeight="1" x14ac:dyDescent="0.25">
      <c r="B13" t="s">
        <v>39</v>
      </c>
      <c r="C13" t="s">
        <v>48</v>
      </c>
    </row>
    <row r="14" spans="1:14" ht="20.100000000000001" customHeight="1" x14ac:dyDescent="0.25">
      <c r="B14" t="s">
        <v>40</v>
      </c>
      <c r="C14" t="s">
        <v>49</v>
      </c>
    </row>
    <row r="15" spans="1:14" ht="20.100000000000001" customHeight="1" x14ac:dyDescent="0.25">
      <c r="B15" t="s">
        <v>41</v>
      </c>
      <c r="C15" t="s">
        <v>50</v>
      </c>
    </row>
    <row r="16" spans="1:14" ht="20.100000000000001" customHeight="1" x14ac:dyDescent="0.25">
      <c r="B16" t="s">
        <v>42</v>
      </c>
      <c r="C16" t="s">
        <v>58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 xr:uid="{00000000-0002-0000-0500-000000000000}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34"/>
  <sheetViews>
    <sheetView showGridLines="0" workbookViewId="0">
      <pane ySplit="3" topLeftCell="A4" activePane="bottomLeft" state="frozen"/>
      <selection activeCell="B4" sqref="B4"/>
      <selection pane="bottomLeft"/>
    </sheetView>
  </sheetViews>
  <sheetFormatPr defaultColWidth="0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hidden="1" customWidth="1"/>
    <col min="10" max="10" width="11.7109375" hidden="1" customWidth="1"/>
    <col min="11" max="11" width="13.5703125" hidden="1" customWidth="1"/>
    <col min="12" max="12" width="12.7109375" hidden="1" customWidth="1"/>
    <col min="13" max="14" width="9.140625" hidden="1" customWidth="1"/>
    <col min="15" max="15" width="12.85546875" hidden="1" customWidth="1"/>
    <col min="16" max="16384" width="9.140625" hidden="1"/>
  </cols>
  <sheetData>
    <row r="1" spans="1:17" ht="39.950000000000003" customHeight="1" x14ac:dyDescent="0.25">
      <c r="A1" t="s">
        <v>6</v>
      </c>
      <c r="B1" s="3" t="s">
        <v>609</v>
      </c>
      <c r="C1" s="1"/>
      <c r="D1" s="1"/>
      <c r="E1" s="1"/>
      <c r="F1" s="1"/>
      <c r="G1" s="1"/>
      <c r="H1" s="2" t="s">
        <v>510</v>
      </c>
    </row>
    <row r="2" spans="1:17" ht="39.950000000000003" customHeight="1" x14ac:dyDescent="0.25">
      <c r="B2" s="5"/>
      <c r="C2" s="5"/>
      <c r="D2" s="5"/>
      <c r="E2" s="5"/>
      <c r="F2" s="5"/>
      <c r="G2" s="5"/>
      <c r="H2" s="5"/>
    </row>
    <row r="3" spans="1:17" s="10" customFormat="1" ht="45" customHeight="1" x14ac:dyDescent="0.25">
      <c r="B3" s="11" t="s">
        <v>51</v>
      </c>
      <c r="C3" s="11" t="s">
        <v>52</v>
      </c>
      <c r="D3" s="11" t="s">
        <v>53</v>
      </c>
      <c r="E3" s="11" t="s">
        <v>54</v>
      </c>
      <c r="F3" s="11" t="s">
        <v>55</v>
      </c>
      <c r="G3" s="11" t="s">
        <v>56</v>
      </c>
      <c r="H3" s="12" t="s">
        <v>57</v>
      </c>
      <c r="I3" s="11" t="s">
        <v>537</v>
      </c>
      <c r="J3" s="11" t="s">
        <v>538</v>
      </c>
      <c r="K3" s="11" t="s">
        <v>539</v>
      </c>
      <c r="L3" s="11" t="s">
        <v>540</v>
      </c>
      <c r="M3" s="11" t="s">
        <v>546</v>
      </c>
      <c r="N3" s="11" t="s">
        <v>545</v>
      </c>
      <c r="O3" s="11" t="s">
        <v>548</v>
      </c>
      <c r="P3" s="11" t="s">
        <v>604</v>
      </c>
      <c r="Q3" s="11" t="s">
        <v>605</v>
      </c>
    </row>
    <row r="4" spans="1:17" ht="20.100000000000001" customHeight="1" x14ac:dyDescent="0.25">
      <c r="B4" s="8">
        <v>42994</v>
      </c>
      <c r="C4" s="8">
        <v>42957</v>
      </c>
      <c r="D4" s="8">
        <v>42972</v>
      </c>
      <c r="E4" t="s">
        <v>23</v>
      </c>
      <c r="F4" t="s">
        <v>32</v>
      </c>
      <c r="G4" t="s">
        <v>59</v>
      </c>
      <c r="H4" s="9">
        <v>1133</v>
      </c>
      <c r="I4">
        <f>IF(TbRegistroEntradas[[#This Row],[Data do Caixa Realizado]]="",0,MONTH(TbRegistroEntradas[[#This Row],[Data do Caixa Realizado]]))</f>
        <v>9</v>
      </c>
      <c r="J4">
        <f>IF(TbRegistroEntradas[[#This Row],[Data do Caixa Realizado]]="",0,YEAR(TbRegistroEntradas[[#This Row],[Data do Caixa Realizado]]))</f>
        <v>2017</v>
      </c>
      <c r="K4">
        <f>IF(TbRegistroEntradas[[#This Row],[Data da Competência]]="",0,MONTH(TbRegistroEntradas[[#This Row],[Data da Competência]]))</f>
        <v>8</v>
      </c>
      <c r="L4">
        <f>IF(TbRegistroEntradas[[#This Row],[Data da Competência]]="",0,YEAR(TbRegistroEntradas[[#This Row],[Data da Competência]]))</f>
        <v>2017</v>
      </c>
      <c r="M4">
        <f>IF(TbRegistroEntradas[[#This Row],[Data do Caixa Previsto]]="",0,MONTH(TbRegistroEntradas[[#This Row],[Data do Caixa Previsto]]))</f>
        <v>8</v>
      </c>
      <c r="N4">
        <f>IF(TbRegistroEntradas[[#This Row],[Data do Caixa Previsto]]="",0,YEAR(TbRegistroEntradas[[#This Row],[Data do Caixa Previsto]]))</f>
        <v>2017</v>
      </c>
      <c r="O4" t="str">
        <f ca="1">IF(AND(TbRegistroEntradas[[#This Row],[Data do Caixa Previsto]]&lt;TODAY(),TbRegistroEntradas[[#This Row],[Data do Caixa Realizado]]=""),"Vencida","Não Vencida")</f>
        <v>Não Vencida</v>
      </c>
      <c r="P4" t="str">
        <f>IF(TbRegistroEntradas[[#This Row],[Data da Competência]]=TbRegistroEntradas[[#This Row],[Data do Caixa Previsto]],"Vista","Prazo")</f>
        <v>Prazo</v>
      </c>
      <c r="Q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22</v>
      </c>
    </row>
    <row r="5" spans="1:17" ht="20.100000000000001" customHeight="1" x14ac:dyDescent="0.25">
      <c r="B5" s="8">
        <v>42985</v>
      </c>
      <c r="C5" s="8">
        <v>42960</v>
      </c>
      <c r="D5" s="8">
        <v>42985</v>
      </c>
      <c r="E5" t="s">
        <v>23</v>
      </c>
      <c r="F5" t="s">
        <v>34</v>
      </c>
      <c r="G5" t="s">
        <v>60</v>
      </c>
      <c r="H5" s="9">
        <v>164</v>
      </c>
      <c r="I5">
        <f>IF(TbRegistroEntradas[[#This Row],[Data do Caixa Realizado]]="",0,MONTH(TbRegistroEntradas[[#This Row],[Data do Caixa Realizado]]))</f>
        <v>9</v>
      </c>
      <c r="J5">
        <f>IF(TbRegistroEntradas[[#This Row],[Data do Caixa Realizado]]="",0,YEAR(TbRegistroEntradas[[#This Row],[Data do Caixa Realizado]]))</f>
        <v>2017</v>
      </c>
      <c r="K5">
        <f>IF(TbRegistroEntradas[[#This Row],[Data da Competência]]="",0,MONTH(TbRegistroEntradas[[#This Row],[Data da Competência]]))</f>
        <v>8</v>
      </c>
      <c r="L5">
        <f>IF(TbRegistroEntradas[[#This Row],[Data da Competência]]="",0,YEAR(TbRegistroEntradas[[#This Row],[Data da Competência]]))</f>
        <v>2017</v>
      </c>
      <c r="M5">
        <f>IF(TbRegistroEntradas[[#This Row],[Data do Caixa Previsto]]="",0,MONTH(TbRegistroEntradas[[#This Row],[Data do Caixa Previsto]]))</f>
        <v>9</v>
      </c>
      <c r="N5">
        <f>IF(TbRegistroEntradas[[#This Row],[Data do Caixa Previsto]]="",0,YEAR(TbRegistroEntradas[[#This Row],[Data do Caixa Previsto]]))</f>
        <v>2017</v>
      </c>
      <c r="O5" t="str">
        <f ca="1">IF(AND(TbRegistroEntradas[[#This Row],[Data do Caixa Previsto]]&lt;TODAY(),TbRegistroEntradas[[#This Row],[Data do Caixa Realizado]]=""),"Vencida","Não Vencida")</f>
        <v>Não Vencida</v>
      </c>
      <c r="P5" t="str">
        <f>IF(TbRegistroEntradas[[#This Row],[Data da Competência]]=TbRegistroEntradas[[#This Row],[Data do Caixa Previsto]],"Vista","Prazo")</f>
        <v>Prazo</v>
      </c>
      <c r="Q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" spans="1:17" ht="20.100000000000001" customHeight="1" x14ac:dyDescent="0.25">
      <c r="B6" s="8">
        <v>43007</v>
      </c>
      <c r="C6" s="8">
        <v>42964</v>
      </c>
      <c r="D6" s="8">
        <v>43001</v>
      </c>
      <c r="E6" t="s">
        <v>23</v>
      </c>
      <c r="F6" t="s">
        <v>34</v>
      </c>
      <c r="G6" t="s">
        <v>61</v>
      </c>
      <c r="H6" s="9">
        <v>2937</v>
      </c>
      <c r="I6">
        <f>IF(TbRegistroEntradas[[#This Row],[Data do Caixa Realizado]]="",0,MONTH(TbRegistroEntradas[[#This Row],[Data do Caixa Realizado]]))</f>
        <v>9</v>
      </c>
      <c r="J6">
        <f>IF(TbRegistroEntradas[[#This Row],[Data do Caixa Realizado]]="",0,YEAR(TbRegistroEntradas[[#This Row],[Data do Caixa Realizado]]))</f>
        <v>2017</v>
      </c>
      <c r="K6">
        <f>IF(TbRegistroEntradas[[#This Row],[Data da Competência]]="",0,MONTH(TbRegistroEntradas[[#This Row],[Data da Competência]]))</f>
        <v>8</v>
      </c>
      <c r="L6">
        <f>IF(TbRegistroEntradas[[#This Row],[Data da Competência]]="",0,YEAR(TbRegistroEntradas[[#This Row],[Data da Competência]]))</f>
        <v>2017</v>
      </c>
      <c r="M6">
        <f>IF(TbRegistroEntradas[[#This Row],[Data do Caixa Previsto]]="",0,MONTH(TbRegistroEntradas[[#This Row],[Data do Caixa Previsto]]))</f>
        <v>9</v>
      </c>
      <c r="N6">
        <f>IF(TbRegistroEntradas[[#This Row],[Data do Caixa Previsto]]="",0,YEAR(TbRegistroEntradas[[#This Row],[Data do Caixa Previsto]]))</f>
        <v>2017</v>
      </c>
      <c r="O6" t="str">
        <f ca="1">IF(AND(TbRegistroEntradas[[#This Row],[Data do Caixa Previsto]]&lt;TODAY(),TbRegistroEntradas[[#This Row],[Data do Caixa Realizado]]=""),"Vencida","Não Vencida")</f>
        <v>Não Vencida</v>
      </c>
      <c r="P6" t="str">
        <f>IF(TbRegistroEntradas[[#This Row],[Data da Competência]]=TbRegistroEntradas[[#This Row],[Data do Caixa Previsto]],"Vista","Prazo")</f>
        <v>Prazo</v>
      </c>
      <c r="Q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</v>
      </c>
    </row>
    <row r="7" spans="1:17" ht="20.100000000000001" customHeight="1" x14ac:dyDescent="0.25">
      <c r="B7" s="8">
        <v>43020</v>
      </c>
      <c r="C7" s="8">
        <v>42969</v>
      </c>
      <c r="D7" s="8">
        <v>43020</v>
      </c>
      <c r="E7" t="s">
        <v>23</v>
      </c>
      <c r="F7" t="s">
        <v>35</v>
      </c>
      <c r="G7" t="s">
        <v>62</v>
      </c>
      <c r="H7" s="9">
        <v>807</v>
      </c>
      <c r="I7">
        <f>IF(TbRegistroEntradas[[#This Row],[Data do Caixa Realizado]]="",0,MONTH(TbRegistroEntradas[[#This Row],[Data do Caixa Realizado]]))</f>
        <v>10</v>
      </c>
      <c r="J7">
        <f>IF(TbRegistroEntradas[[#This Row],[Data do Caixa Realizado]]="",0,YEAR(TbRegistroEntradas[[#This Row],[Data do Caixa Realizado]]))</f>
        <v>2017</v>
      </c>
      <c r="K7">
        <f>IF(TbRegistroEntradas[[#This Row],[Data da Competência]]="",0,MONTH(TbRegistroEntradas[[#This Row],[Data da Competência]]))</f>
        <v>8</v>
      </c>
      <c r="L7">
        <f>IF(TbRegistroEntradas[[#This Row],[Data da Competência]]="",0,YEAR(TbRegistroEntradas[[#This Row],[Data da Competência]]))</f>
        <v>2017</v>
      </c>
      <c r="M7">
        <f>IF(TbRegistroEntradas[[#This Row],[Data do Caixa Previsto]]="",0,MONTH(TbRegistroEntradas[[#This Row],[Data do Caixa Previsto]]))</f>
        <v>10</v>
      </c>
      <c r="N7">
        <f>IF(TbRegistroEntradas[[#This Row],[Data do Caixa Previsto]]="",0,YEAR(TbRegistroEntradas[[#This Row],[Data do Caixa Previsto]]))</f>
        <v>2017</v>
      </c>
      <c r="O7" t="str">
        <f ca="1">IF(AND(TbRegistroEntradas[[#This Row],[Data do Caixa Previsto]]&lt;TODAY(),TbRegistroEntradas[[#This Row],[Data do Caixa Realizado]]=""),"Vencida","Não Vencida")</f>
        <v>Não Vencida</v>
      </c>
      <c r="P7" t="str">
        <f>IF(TbRegistroEntradas[[#This Row],[Data da Competência]]=TbRegistroEntradas[[#This Row],[Data do Caixa Previsto]],"Vista","Prazo")</f>
        <v>Prazo</v>
      </c>
      <c r="Q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" spans="1:17" ht="20.100000000000001" customHeight="1" x14ac:dyDescent="0.25">
      <c r="B8" s="8">
        <v>43014</v>
      </c>
      <c r="C8" s="8">
        <v>42972</v>
      </c>
      <c r="D8" s="8">
        <v>43014</v>
      </c>
      <c r="E8" t="s">
        <v>23</v>
      </c>
      <c r="F8" t="s">
        <v>32</v>
      </c>
      <c r="G8" t="s">
        <v>63</v>
      </c>
      <c r="H8" s="9">
        <v>2612</v>
      </c>
      <c r="I8">
        <f>IF(TbRegistroEntradas[[#This Row],[Data do Caixa Realizado]]="",0,MONTH(TbRegistroEntradas[[#This Row],[Data do Caixa Realizado]]))</f>
        <v>10</v>
      </c>
      <c r="J8">
        <f>IF(TbRegistroEntradas[[#This Row],[Data do Caixa Realizado]]="",0,YEAR(TbRegistroEntradas[[#This Row],[Data do Caixa Realizado]]))</f>
        <v>2017</v>
      </c>
      <c r="K8">
        <f>IF(TbRegistroEntradas[[#This Row],[Data da Competência]]="",0,MONTH(TbRegistroEntradas[[#This Row],[Data da Competência]]))</f>
        <v>8</v>
      </c>
      <c r="L8">
        <f>IF(TbRegistroEntradas[[#This Row],[Data da Competência]]="",0,YEAR(TbRegistroEntradas[[#This Row],[Data da Competência]]))</f>
        <v>2017</v>
      </c>
      <c r="M8">
        <f>IF(TbRegistroEntradas[[#This Row],[Data do Caixa Previsto]]="",0,MONTH(TbRegistroEntradas[[#This Row],[Data do Caixa Previsto]]))</f>
        <v>10</v>
      </c>
      <c r="N8">
        <f>IF(TbRegistroEntradas[[#This Row],[Data do Caixa Previsto]]="",0,YEAR(TbRegistroEntradas[[#This Row],[Data do Caixa Previsto]]))</f>
        <v>2017</v>
      </c>
      <c r="O8" t="str">
        <f ca="1">IF(AND(TbRegistroEntradas[[#This Row],[Data do Caixa Previsto]]&lt;TODAY(),TbRegistroEntradas[[#This Row],[Data do Caixa Realizado]]=""),"Vencida","Não Vencida")</f>
        <v>Não Vencida</v>
      </c>
      <c r="P8" t="str">
        <f>IF(TbRegistroEntradas[[#This Row],[Data da Competência]]=TbRegistroEntradas[[#This Row],[Data do Caixa Previsto]],"Vista","Prazo")</f>
        <v>Prazo</v>
      </c>
      <c r="Q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" spans="1:17" ht="20.100000000000001" customHeight="1" x14ac:dyDescent="0.25">
      <c r="B9" s="8">
        <v>43054</v>
      </c>
      <c r="C9" s="8">
        <v>42974</v>
      </c>
      <c r="D9" s="8">
        <v>43030</v>
      </c>
      <c r="E9" t="s">
        <v>23</v>
      </c>
      <c r="F9" t="s">
        <v>34</v>
      </c>
      <c r="G9" t="s">
        <v>64</v>
      </c>
      <c r="H9" s="9">
        <v>2483</v>
      </c>
      <c r="I9">
        <f>IF(TbRegistroEntradas[[#This Row],[Data do Caixa Realizado]]="",0,MONTH(TbRegistroEntradas[[#This Row],[Data do Caixa Realizado]]))</f>
        <v>11</v>
      </c>
      <c r="J9">
        <f>IF(TbRegistroEntradas[[#This Row],[Data do Caixa Realizado]]="",0,YEAR(TbRegistroEntradas[[#This Row],[Data do Caixa Realizado]]))</f>
        <v>2017</v>
      </c>
      <c r="K9">
        <f>IF(TbRegistroEntradas[[#This Row],[Data da Competência]]="",0,MONTH(TbRegistroEntradas[[#This Row],[Data da Competência]]))</f>
        <v>8</v>
      </c>
      <c r="L9">
        <f>IF(TbRegistroEntradas[[#This Row],[Data da Competência]]="",0,YEAR(TbRegistroEntradas[[#This Row],[Data da Competência]]))</f>
        <v>2017</v>
      </c>
      <c r="M9">
        <f>IF(TbRegistroEntradas[[#This Row],[Data do Caixa Previsto]]="",0,MONTH(TbRegistroEntradas[[#This Row],[Data do Caixa Previsto]]))</f>
        <v>10</v>
      </c>
      <c r="N9">
        <f>IF(TbRegistroEntradas[[#This Row],[Data do Caixa Previsto]]="",0,YEAR(TbRegistroEntradas[[#This Row],[Data do Caixa Previsto]]))</f>
        <v>2017</v>
      </c>
      <c r="O9" t="str">
        <f ca="1">IF(AND(TbRegistroEntradas[[#This Row],[Data do Caixa Previsto]]&lt;TODAY(),TbRegistroEntradas[[#This Row],[Data do Caixa Realizado]]=""),"Vencida","Não Vencida")</f>
        <v>Não Vencida</v>
      </c>
      <c r="P9" t="str">
        <f>IF(TbRegistroEntradas[[#This Row],[Data da Competência]]=TbRegistroEntradas[[#This Row],[Data do Caixa Previsto]],"Vista","Prazo")</f>
        <v>Prazo</v>
      </c>
      <c r="Q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24</v>
      </c>
    </row>
    <row r="10" spans="1:17" ht="20.100000000000001" customHeight="1" x14ac:dyDescent="0.25">
      <c r="B10" s="8">
        <v>43087</v>
      </c>
      <c r="C10" s="8">
        <v>42979</v>
      </c>
      <c r="D10" s="8">
        <v>43009</v>
      </c>
      <c r="E10" t="s">
        <v>23</v>
      </c>
      <c r="F10" t="s">
        <v>32</v>
      </c>
      <c r="G10" t="s">
        <v>65</v>
      </c>
      <c r="H10" s="9">
        <v>4387</v>
      </c>
      <c r="I10">
        <f>IF(TbRegistroEntradas[[#This Row],[Data do Caixa Realizado]]="",0,MONTH(TbRegistroEntradas[[#This Row],[Data do Caixa Realizado]]))</f>
        <v>12</v>
      </c>
      <c r="J10">
        <f>IF(TbRegistroEntradas[[#This Row],[Data do Caixa Realizado]]="",0,YEAR(TbRegistroEntradas[[#This Row],[Data do Caixa Realizado]]))</f>
        <v>2017</v>
      </c>
      <c r="K10">
        <f>IF(TbRegistroEntradas[[#This Row],[Data da Competência]]="",0,MONTH(TbRegistroEntradas[[#This Row],[Data da Competência]]))</f>
        <v>9</v>
      </c>
      <c r="L10">
        <f>IF(TbRegistroEntradas[[#This Row],[Data da Competência]]="",0,YEAR(TbRegistroEntradas[[#This Row],[Data da Competência]]))</f>
        <v>2017</v>
      </c>
      <c r="M10">
        <f>IF(TbRegistroEntradas[[#This Row],[Data do Caixa Previsto]]="",0,MONTH(TbRegistroEntradas[[#This Row],[Data do Caixa Previsto]]))</f>
        <v>10</v>
      </c>
      <c r="N10">
        <f>IF(TbRegistroEntradas[[#This Row],[Data do Caixa Previsto]]="",0,YEAR(TbRegistroEntradas[[#This Row],[Data do Caixa Previsto]]))</f>
        <v>2017</v>
      </c>
      <c r="O10" t="str">
        <f ca="1">IF(AND(TbRegistroEntradas[[#This Row],[Data do Caixa Previsto]]&lt;TODAY(),TbRegistroEntradas[[#This Row],[Data do Caixa Realizado]]=""),"Vencida","Não Vencida")</f>
        <v>Não Vencida</v>
      </c>
      <c r="P10" t="str">
        <f>IF(TbRegistroEntradas[[#This Row],[Data da Competência]]=TbRegistroEntradas[[#This Row],[Data do Caixa Previsto]],"Vista","Prazo")</f>
        <v>Prazo</v>
      </c>
      <c r="Q1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78</v>
      </c>
    </row>
    <row r="11" spans="1:17" ht="20.100000000000001" customHeight="1" x14ac:dyDescent="0.25">
      <c r="B11" s="8">
        <v>43004</v>
      </c>
      <c r="C11" s="8">
        <v>42980</v>
      </c>
      <c r="D11" s="8">
        <v>43004</v>
      </c>
      <c r="E11" t="s">
        <v>23</v>
      </c>
      <c r="F11" t="s">
        <v>34</v>
      </c>
      <c r="G11" t="s">
        <v>66</v>
      </c>
      <c r="H11" s="9">
        <v>4268</v>
      </c>
      <c r="I11">
        <f>IF(TbRegistroEntradas[[#This Row],[Data do Caixa Realizado]]="",0,MONTH(TbRegistroEntradas[[#This Row],[Data do Caixa Realizado]]))</f>
        <v>9</v>
      </c>
      <c r="J11">
        <f>IF(TbRegistroEntradas[[#This Row],[Data do Caixa Realizado]]="",0,YEAR(TbRegistroEntradas[[#This Row],[Data do Caixa Realizado]]))</f>
        <v>2017</v>
      </c>
      <c r="K11">
        <f>IF(TbRegistroEntradas[[#This Row],[Data da Competência]]="",0,MONTH(TbRegistroEntradas[[#This Row],[Data da Competência]]))</f>
        <v>9</v>
      </c>
      <c r="L11">
        <f>IF(TbRegistroEntradas[[#This Row],[Data da Competência]]="",0,YEAR(TbRegistroEntradas[[#This Row],[Data da Competência]]))</f>
        <v>2017</v>
      </c>
      <c r="M11">
        <f>IF(TbRegistroEntradas[[#This Row],[Data do Caixa Previsto]]="",0,MONTH(TbRegistroEntradas[[#This Row],[Data do Caixa Previsto]]))</f>
        <v>9</v>
      </c>
      <c r="N11">
        <f>IF(TbRegistroEntradas[[#This Row],[Data do Caixa Previsto]]="",0,YEAR(TbRegistroEntradas[[#This Row],[Data do Caixa Previsto]]))</f>
        <v>2017</v>
      </c>
      <c r="O11" t="str">
        <f ca="1">IF(AND(TbRegistroEntradas[[#This Row],[Data do Caixa Previsto]]&lt;TODAY(),TbRegistroEntradas[[#This Row],[Data do Caixa Realizado]]=""),"Vencida","Não Vencida")</f>
        <v>Não Vencida</v>
      </c>
      <c r="P11" t="str">
        <f>IF(TbRegistroEntradas[[#This Row],[Data da Competência]]=TbRegistroEntradas[[#This Row],[Data do Caixa Previsto]],"Vista","Prazo")</f>
        <v>Prazo</v>
      </c>
      <c r="Q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" spans="1:17" ht="20.100000000000001" customHeight="1" x14ac:dyDescent="0.25">
      <c r="B12" s="8">
        <v>43015</v>
      </c>
      <c r="C12" s="8">
        <v>42984</v>
      </c>
      <c r="D12" s="8">
        <v>43015</v>
      </c>
      <c r="E12" t="s">
        <v>23</v>
      </c>
      <c r="F12" t="s">
        <v>34</v>
      </c>
      <c r="G12" t="s">
        <v>67</v>
      </c>
      <c r="H12" s="9">
        <v>3761</v>
      </c>
      <c r="I12">
        <f>IF(TbRegistroEntradas[[#This Row],[Data do Caixa Realizado]]="",0,MONTH(TbRegistroEntradas[[#This Row],[Data do Caixa Realizado]]))</f>
        <v>10</v>
      </c>
      <c r="J12">
        <f>IF(TbRegistroEntradas[[#This Row],[Data do Caixa Realizado]]="",0,YEAR(TbRegistroEntradas[[#This Row],[Data do Caixa Realizado]]))</f>
        <v>2017</v>
      </c>
      <c r="K12">
        <f>IF(TbRegistroEntradas[[#This Row],[Data da Competência]]="",0,MONTH(TbRegistroEntradas[[#This Row],[Data da Competência]]))</f>
        <v>9</v>
      </c>
      <c r="L12">
        <f>IF(TbRegistroEntradas[[#This Row],[Data da Competência]]="",0,YEAR(TbRegistroEntradas[[#This Row],[Data da Competência]]))</f>
        <v>2017</v>
      </c>
      <c r="M12">
        <f>IF(TbRegistroEntradas[[#This Row],[Data do Caixa Previsto]]="",0,MONTH(TbRegistroEntradas[[#This Row],[Data do Caixa Previsto]]))</f>
        <v>10</v>
      </c>
      <c r="N12">
        <f>IF(TbRegistroEntradas[[#This Row],[Data do Caixa Previsto]]="",0,YEAR(TbRegistroEntradas[[#This Row],[Data do Caixa Previsto]]))</f>
        <v>2017</v>
      </c>
      <c r="O12" t="str">
        <f ca="1">IF(AND(TbRegistroEntradas[[#This Row],[Data do Caixa Previsto]]&lt;TODAY(),TbRegistroEntradas[[#This Row],[Data do Caixa Realizado]]=""),"Vencida","Não Vencida")</f>
        <v>Não Vencida</v>
      </c>
      <c r="P12" t="str">
        <f>IF(TbRegistroEntradas[[#This Row],[Data da Competência]]=TbRegistroEntradas[[#This Row],[Data do Caixa Previsto]],"Vista","Prazo")</f>
        <v>Prazo</v>
      </c>
      <c r="Q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" spans="1:17" ht="20.100000000000001" customHeight="1" x14ac:dyDescent="0.25">
      <c r="B13" s="8" t="s">
        <v>68</v>
      </c>
      <c r="C13" s="8">
        <v>42988</v>
      </c>
      <c r="D13" s="8">
        <v>43013</v>
      </c>
      <c r="E13" t="s">
        <v>23</v>
      </c>
      <c r="F13" t="s">
        <v>34</v>
      </c>
      <c r="G13" t="s">
        <v>69</v>
      </c>
      <c r="H13" s="9">
        <v>4983</v>
      </c>
      <c r="I13">
        <f>IF(TbRegistroEntradas[[#This Row],[Data do Caixa Realizado]]="",0,MONTH(TbRegistroEntradas[[#This Row],[Data do Caixa Realizado]]))</f>
        <v>0</v>
      </c>
      <c r="J13">
        <f>IF(TbRegistroEntradas[[#This Row],[Data do Caixa Realizado]]="",0,YEAR(TbRegistroEntradas[[#This Row],[Data do Caixa Realizado]]))</f>
        <v>0</v>
      </c>
      <c r="K13">
        <f>IF(TbRegistroEntradas[[#This Row],[Data da Competência]]="",0,MONTH(TbRegistroEntradas[[#This Row],[Data da Competência]]))</f>
        <v>9</v>
      </c>
      <c r="L13">
        <f>IF(TbRegistroEntradas[[#This Row],[Data da Competência]]="",0,YEAR(TbRegistroEntradas[[#This Row],[Data da Competência]]))</f>
        <v>2017</v>
      </c>
      <c r="M13">
        <f>IF(TbRegistroEntradas[[#This Row],[Data do Caixa Previsto]]="",0,MONTH(TbRegistroEntradas[[#This Row],[Data do Caixa Previsto]]))</f>
        <v>10</v>
      </c>
      <c r="N13">
        <f>IF(TbRegistroEntradas[[#This Row],[Data do Caixa Previsto]]="",0,YEAR(TbRegistroEntradas[[#This Row],[Data do Caixa Previsto]]))</f>
        <v>2017</v>
      </c>
      <c r="O13" t="str">
        <f ca="1">IF(AND(TbRegistroEntradas[[#This Row],[Data do Caixa Previsto]]&lt;TODAY(),TbRegistroEntradas[[#This Row],[Data do Caixa Realizado]]=""),"Vencida","Não Vencida")</f>
        <v>Vencida</v>
      </c>
      <c r="P13" t="str">
        <f>IF(TbRegistroEntradas[[#This Row],[Data da Competência]]=TbRegistroEntradas[[#This Row],[Data do Caixa Previsto]],"Vista","Prazo")</f>
        <v>Prazo</v>
      </c>
      <c r="Q1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1902</v>
      </c>
    </row>
    <row r="14" spans="1:17" ht="20.100000000000001" customHeight="1" x14ac:dyDescent="0.25">
      <c r="B14" s="8">
        <v>42997</v>
      </c>
      <c r="C14" s="8">
        <v>42990</v>
      </c>
      <c r="D14" s="8">
        <v>42997</v>
      </c>
      <c r="E14" t="s">
        <v>23</v>
      </c>
      <c r="F14" t="s">
        <v>31</v>
      </c>
      <c r="G14" t="s">
        <v>70</v>
      </c>
      <c r="H14" s="9">
        <v>2502</v>
      </c>
      <c r="I14">
        <f>IF(TbRegistroEntradas[[#This Row],[Data do Caixa Realizado]]="",0,MONTH(TbRegistroEntradas[[#This Row],[Data do Caixa Realizado]]))</f>
        <v>9</v>
      </c>
      <c r="J14">
        <f>IF(TbRegistroEntradas[[#This Row],[Data do Caixa Realizado]]="",0,YEAR(TbRegistroEntradas[[#This Row],[Data do Caixa Realizado]]))</f>
        <v>2017</v>
      </c>
      <c r="K14">
        <f>IF(TbRegistroEntradas[[#This Row],[Data da Competência]]="",0,MONTH(TbRegistroEntradas[[#This Row],[Data da Competência]]))</f>
        <v>9</v>
      </c>
      <c r="L14">
        <f>IF(TbRegistroEntradas[[#This Row],[Data da Competência]]="",0,YEAR(TbRegistroEntradas[[#This Row],[Data da Competência]]))</f>
        <v>2017</v>
      </c>
      <c r="M14">
        <f>IF(TbRegistroEntradas[[#This Row],[Data do Caixa Previsto]]="",0,MONTH(TbRegistroEntradas[[#This Row],[Data do Caixa Previsto]]))</f>
        <v>9</v>
      </c>
      <c r="N14">
        <f>IF(TbRegistroEntradas[[#This Row],[Data do Caixa Previsto]]="",0,YEAR(TbRegistroEntradas[[#This Row],[Data do Caixa Previsto]]))</f>
        <v>2017</v>
      </c>
      <c r="O14" t="str">
        <f ca="1">IF(AND(TbRegistroEntradas[[#This Row],[Data do Caixa Previsto]]&lt;TODAY(),TbRegistroEntradas[[#This Row],[Data do Caixa Realizado]]=""),"Vencida","Não Vencida")</f>
        <v>Não Vencida</v>
      </c>
      <c r="P14" t="str">
        <f>IF(TbRegistroEntradas[[#This Row],[Data da Competência]]=TbRegistroEntradas[[#This Row],[Data do Caixa Previsto]],"Vista","Prazo")</f>
        <v>Prazo</v>
      </c>
      <c r="Q1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" spans="1:17" ht="20.100000000000001" customHeight="1" x14ac:dyDescent="0.25">
      <c r="B15" s="8">
        <v>43002</v>
      </c>
      <c r="C15" s="8">
        <v>42994</v>
      </c>
      <c r="D15" s="8">
        <v>43002</v>
      </c>
      <c r="E15" t="s">
        <v>23</v>
      </c>
      <c r="F15" t="s">
        <v>34</v>
      </c>
      <c r="G15" t="s">
        <v>71</v>
      </c>
      <c r="H15" s="9">
        <v>2337</v>
      </c>
      <c r="I15">
        <f>IF(TbRegistroEntradas[[#This Row],[Data do Caixa Realizado]]="",0,MONTH(TbRegistroEntradas[[#This Row],[Data do Caixa Realizado]]))</f>
        <v>9</v>
      </c>
      <c r="J15">
        <f>IF(TbRegistroEntradas[[#This Row],[Data do Caixa Realizado]]="",0,YEAR(TbRegistroEntradas[[#This Row],[Data do Caixa Realizado]]))</f>
        <v>2017</v>
      </c>
      <c r="K15">
        <f>IF(TbRegistroEntradas[[#This Row],[Data da Competência]]="",0,MONTH(TbRegistroEntradas[[#This Row],[Data da Competência]]))</f>
        <v>9</v>
      </c>
      <c r="L15">
        <f>IF(TbRegistroEntradas[[#This Row],[Data da Competência]]="",0,YEAR(TbRegistroEntradas[[#This Row],[Data da Competência]]))</f>
        <v>2017</v>
      </c>
      <c r="M15">
        <f>IF(TbRegistroEntradas[[#This Row],[Data do Caixa Previsto]]="",0,MONTH(TbRegistroEntradas[[#This Row],[Data do Caixa Previsto]]))</f>
        <v>9</v>
      </c>
      <c r="N15">
        <f>IF(TbRegistroEntradas[[#This Row],[Data do Caixa Previsto]]="",0,YEAR(TbRegistroEntradas[[#This Row],[Data do Caixa Previsto]]))</f>
        <v>2017</v>
      </c>
      <c r="O15" t="str">
        <f ca="1">IF(AND(TbRegistroEntradas[[#This Row],[Data do Caixa Previsto]]&lt;TODAY(),TbRegistroEntradas[[#This Row],[Data do Caixa Realizado]]=""),"Vencida","Não Vencida")</f>
        <v>Não Vencida</v>
      </c>
      <c r="P15" t="str">
        <f>IF(TbRegistroEntradas[[#This Row],[Data da Competência]]=TbRegistroEntradas[[#This Row],[Data do Caixa Previsto]],"Vista","Prazo")</f>
        <v>Prazo</v>
      </c>
      <c r="Q1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" spans="1:17" ht="20.100000000000001" customHeight="1" x14ac:dyDescent="0.25">
      <c r="B16" s="8">
        <v>43001</v>
      </c>
      <c r="C16" s="8">
        <v>43001</v>
      </c>
      <c r="D16" s="8">
        <v>43001</v>
      </c>
      <c r="E16" t="s">
        <v>23</v>
      </c>
      <c r="F16" t="s">
        <v>33</v>
      </c>
      <c r="G16" t="s">
        <v>72</v>
      </c>
      <c r="H16" s="9">
        <v>3125</v>
      </c>
      <c r="I16">
        <f>IF(TbRegistroEntradas[[#This Row],[Data do Caixa Realizado]]="",0,MONTH(TbRegistroEntradas[[#This Row],[Data do Caixa Realizado]]))</f>
        <v>9</v>
      </c>
      <c r="J16">
        <f>IF(TbRegistroEntradas[[#This Row],[Data do Caixa Realizado]]="",0,YEAR(TbRegistroEntradas[[#This Row],[Data do Caixa Realizado]]))</f>
        <v>2017</v>
      </c>
      <c r="K16">
        <f>IF(TbRegistroEntradas[[#This Row],[Data da Competência]]="",0,MONTH(TbRegistroEntradas[[#This Row],[Data da Competência]]))</f>
        <v>9</v>
      </c>
      <c r="L16">
        <f>IF(TbRegistroEntradas[[#This Row],[Data da Competência]]="",0,YEAR(TbRegistroEntradas[[#This Row],[Data da Competência]]))</f>
        <v>2017</v>
      </c>
      <c r="M16">
        <f>IF(TbRegistroEntradas[[#This Row],[Data do Caixa Previsto]]="",0,MONTH(TbRegistroEntradas[[#This Row],[Data do Caixa Previsto]]))</f>
        <v>9</v>
      </c>
      <c r="N16">
        <f>IF(TbRegistroEntradas[[#This Row],[Data do Caixa Previsto]]="",0,YEAR(TbRegistroEntradas[[#This Row],[Data do Caixa Previsto]]))</f>
        <v>2017</v>
      </c>
      <c r="O16" t="str">
        <f ca="1">IF(AND(TbRegistroEntradas[[#This Row],[Data do Caixa Previsto]]&lt;TODAY(),TbRegistroEntradas[[#This Row],[Data do Caixa Realizado]]=""),"Vencida","Não Vencida")</f>
        <v>Não Vencida</v>
      </c>
      <c r="P16" t="str">
        <f>IF(TbRegistroEntradas[[#This Row],[Data da Competência]]=TbRegistroEntradas[[#This Row],[Data do Caixa Previsto]],"Vista","Prazo")</f>
        <v>Vista</v>
      </c>
      <c r="Q1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" spans="2:17" ht="20.100000000000001" customHeight="1" x14ac:dyDescent="0.25">
      <c r="B17" s="8">
        <v>43056</v>
      </c>
      <c r="C17" s="8">
        <v>43004</v>
      </c>
      <c r="D17" s="8">
        <v>43056</v>
      </c>
      <c r="E17" t="s">
        <v>23</v>
      </c>
      <c r="F17" t="s">
        <v>34</v>
      </c>
      <c r="G17" t="s">
        <v>73</v>
      </c>
      <c r="H17" s="9">
        <v>1201</v>
      </c>
      <c r="I17">
        <f>IF(TbRegistroEntradas[[#This Row],[Data do Caixa Realizado]]="",0,MONTH(TbRegistroEntradas[[#This Row],[Data do Caixa Realizado]]))</f>
        <v>11</v>
      </c>
      <c r="J17">
        <f>IF(TbRegistroEntradas[[#This Row],[Data do Caixa Realizado]]="",0,YEAR(TbRegistroEntradas[[#This Row],[Data do Caixa Realizado]]))</f>
        <v>2017</v>
      </c>
      <c r="K17">
        <f>IF(TbRegistroEntradas[[#This Row],[Data da Competência]]="",0,MONTH(TbRegistroEntradas[[#This Row],[Data da Competência]]))</f>
        <v>9</v>
      </c>
      <c r="L17">
        <f>IF(TbRegistroEntradas[[#This Row],[Data da Competência]]="",0,YEAR(TbRegistroEntradas[[#This Row],[Data da Competência]]))</f>
        <v>2017</v>
      </c>
      <c r="M17">
        <f>IF(TbRegistroEntradas[[#This Row],[Data do Caixa Previsto]]="",0,MONTH(TbRegistroEntradas[[#This Row],[Data do Caixa Previsto]]))</f>
        <v>11</v>
      </c>
      <c r="N17">
        <f>IF(TbRegistroEntradas[[#This Row],[Data do Caixa Previsto]]="",0,YEAR(TbRegistroEntradas[[#This Row],[Data do Caixa Previsto]]))</f>
        <v>2017</v>
      </c>
      <c r="O17" t="str">
        <f ca="1">IF(AND(TbRegistroEntradas[[#This Row],[Data do Caixa Previsto]]&lt;TODAY(),TbRegistroEntradas[[#This Row],[Data do Caixa Realizado]]=""),"Vencida","Não Vencida")</f>
        <v>Não Vencida</v>
      </c>
      <c r="P17" t="str">
        <f>IF(TbRegistroEntradas[[#This Row],[Data da Competência]]=TbRegistroEntradas[[#This Row],[Data do Caixa Previsto]],"Vista","Prazo")</f>
        <v>Prazo</v>
      </c>
      <c r="Q1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" spans="2:17" x14ac:dyDescent="0.25">
      <c r="B18" s="8">
        <v>43018</v>
      </c>
      <c r="C18" s="8">
        <v>43005</v>
      </c>
      <c r="D18" s="8">
        <v>43018</v>
      </c>
      <c r="E18" t="s">
        <v>23</v>
      </c>
      <c r="F18" t="s">
        <v>32</v>
      </c>
      <c r="G18" t="s">
        <v>74</v>
      </c>
      <c r="H18" s="9">
        <v>4380</v>
      </c>
      <c r="I18">
        <f>IF(TbRegistroEntradas[[#This Row],[Data do Caixa Realizado]]="",0,MONTH(TbRegistroEntradas[[#This Row],[Data do Caixa Realizado]]))</f>
        <v>10</v>
      </c>
      <c r="J18">
        <f>IF(TbRegistroEntradas[[#This Row],[Data do Caixa Realizado]]="",0,YEAR(TbRegistroEntradas[[#This Row],[Data do Caixa Realizado]]))</f>
        <v>2017</v>
      </c>
      <c r="K18">
        <f>IF(TbRegistroEntradas[[#This Row],[Data da Competência]]="",0,MONTH(TbRegistroEntradas[[#This Row],[Data da Competência]]))</f>
        <v>9</v>
      </c>
      <c r="L18">
        <f>IF(TbRegistroEntradas[[#This Row],[Data da Competência]]="",0,YEAR(TbRegistroEntradas[[#This Row],[Data da Competência]]))</f>
        <v>2017</v>
      </c>
      <c r="M18">
        <f>IF(TbRegistroEntradas[[#This Row],[Data do Caixa Previsto]]="",0,MONTH(TbRegistroEntradas[[#This Row],[Data do Caixa Previsto]]))</f>
        <v>10</v>
      </c>
      <c r="N18">
        <f>IF(TbRegistroEntradas[[#This Row],[Data do Caixa Previsto]]="",0,YEAR(TbRegistroEntradas[[#This Row],[Data do Caixa Previsto]]))</f>
        <v>2017</v>
      </c>
      <c r="O18" t="str">
        <f ca="1">IF(AND(TbRegistroEntradas[[#This Row],[Data do Caixa Previsto]]&lt;TODAY(),TbRegistroEntradas[[#This Row],[Data do Caixa Realizado]]=""),"Vencida","Não Vencida")</f>
        <v>Não Vencida</v>
      </c>
      <c r="P18" t="str">
        <f>IF(TbRegistroEntradas[[#This Row],[Data da Competência]]=TbRegistroEntradas[[#This Row],[Data do Caixa Previsto]],"Vista","Prazo")</f>
        <v>Prazo</v>
      </c>
      <c r="Q1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" spans="2:17" x14ac:dyDescent="0.25">
      <c r="B19" s="8">
        <v>43019</v>
      </c>
      <c r="C19" s="8">
        <v>43008</v>
      </c>
      <c r="D19" s="8">
        <v>43019</v>
      </c>
      <c r="E19" t="s">
        <v>23</v>
      </c>
      <c r="F19" t="s">
        <v>33</v>
      </c>
      <c r="G19" t="s">
        <v>75</v>
      </c>
      <c r="H19" s="9">
        <v>919</v>
      </c>
      <c r="I19">
        <f>IF(TbRegistroEntradas[[#This Row],[Data do Caixa Realizado]]="",0,MONTH(TbRegistroEntradas[[#This Row],[Data do Caixa Realizado]]))</f>
        <v>10</v>
      </c>
      <c r="J19">
        <f>IF(TbRegistroEntradas[[#This Row],[Data do Caixa Realizado]]="",0,YEAR(TbRegistroEntradas[[#This Row],[Data do Caixa Realizado]]))</f>
        <v>2017</v>
      </c>
      <c r="K19">
        <f>IF(TbRegistroEntradas[[#This Row],[Data da Competência]]="",0,MONTH(TbRegistroEntradas[[#This Row],[Data da Competência]]))</f>
        <v>9</v>
      </c>
      <c r="L19">
        <f>IF(TbRegistroEntradas[[#This Row],[Data da Competência]]="",0,YEAR(TbRegistroEntradas[[#This Row],[Data da Competência]]))</f>
        <v>2017</v>
      </c>
      <c r="M19">
        <f>IF(TbRegistroEntradas[[#This Row],[Data do Caixa Previsto]]="",0,MONTH(TbRegistroEntradas[[#This Row],[Data do Caixa Previsto]]))</f>
        <v>10</v>
      </c>
      <c r="N19">
        <f>IF(TbRegistroEntradas[[#This Row],[Data do Caixa Previsto]]="",0,YEAR(TbRegistroEntradas[[#This Row],[Data do Caixa Previsto]]))</f>
        <v>2017</v>
      </c>
      <c r="O19" t="str">
        <f ca="1">IF(AND(TbRegistroEntradas[[#This Row],[Data do Caixa Previsto]]&lt;TODAY(),TbRegistroEntradas[[#This Row],[Data do Caixa Realizado]]=""),"Vencida","Não Vencida")</f>
        <v>Não Vencida</v>
      </c>
      <c r="P19" t="str">
        <f>IF(TbRegistroEntradas[[#This Row],[Data da Competência]]=TbRegistroEntradas[[#This Row],[Data do Caixa Previsto]],"Vista","Prazo")</f>
        <v>Prazo</v>
      </c>
      <c r="Q1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" spans="2:17" x14ac:dyDescent="0.25">
      <c r="B20" s="8">
        <v>43076</v>
      </c>
      <c r="C20" s="8">
        <v>43012</v>
      </c>
      <c r="D20" s="8">
        <v>43025</v>
      </c>
      <c r="E20" t="s">
        <v>23</v>
      </c>
      <c r="F20" t="s">
        <v>35</v>
      </c>
      <c r="G20" t="s">
        <v>76</v>
      </c>
      <c r="H20" s="9">
        <v>4590</v>
      </c>
      <c r="I20">
        <f>IF(TbRegistroEntradas[[#This Row],[Data do Caixa Realizado]]="",0,MONTH(TbRegistroEntradas[[#This Row],[Data do Caixa Realizado]]))</f>
        <v>12</v>
      </c>
      <c r="J20">
        <f>IF(TbRegistroEntradas[[#This Row],[Data do Caixa Realizado]]="",0,YEAR(TbRegistroEntradas[[#This Row],[Data do Caixa Realizado]]))</f>
        <v>2017</v>
      </c>
      <c r="K20">
        <f>IF(TbRegistroEntradas[[#This Row],[Data da Competência]]="",0,MONTH(TbRegistroEntradas[[#This Row],[Data da Competência]]))</f>
        <v>10</v>
      </c>
      <c r="L20">
        <f>IF(TbRegistroEntradas[[#This Row],[Data da Competência]]="",0,YEAR(TbRegistroEntradas[[#This Row],[Data da Competência]]))</f>
        <v>2017</v>
      </c>
      <c r="M20">
        <f>IF(TbRegistroEntradas[[#This Row],[Data do Caixa Previsto]]="",0,MONTH(TbRegistroEntradas[[#This Row],[Data do Caixa Previsto]]))</f>
        <v>10</v>
      </c>
      <c r="N20">
        <f>IF(TbRegistroEntradas[[#This Row],[Data do Caixa Previsto]]="",0,YEAR(TbRegistroEntradas[[#This Row],[Data do Caixa Previsto]]))</f>
        <v>2017</v>
      </c>
      <c r="O20" t="str">
        <f ca="1">IF(AND(TbRegistroEntradas[[#This Row],[Data do Caixa Previsto]]&lt;TODAY(),TbRegistroEntradas[[#This Row],[Data do Caixa Realizado]]=""),"Vencida","Não Vencida")</f>
        <v>Não Vencida</v>
      </c>
      <c r="P20" t="str">
        <f>IF(TbRegistroEntradas[[#This Row],[Data da Competência]]=TbRegistroEntradas[[#This Row],[Data do Caixa Previsto]],"Vista","Prazo")</f>
        <v>Prazo</v>
      </c>
      <c r="Q2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51</v>
      </c>
    </row>
    <row r="21" spans="2:17" x14ac:dyDescent="0.25">
      <c r="B21" s="8">
        <v>43052</v>
      </c>
      <c r="C21" s="8">
        <v>43015</v>
      </c>
      <c r="D21" s="8">
        <v>43052</v>
      </c>
      <c r="E21" t="s">
        <v>23</v>
      </c>
      <c r="F21" t="s">
        <v>31</v>
      </c>
      <c r="G21" t="s">
        <v>77</v>
      </c>
      <c r="H21" s="9">
        <v>1958</v>
      </c>
      <c r="I21">
        <f>IF(TbRegistroEntradas[[#This Row],[Data do Caixa Realizado]]="",0,MONTH(TbRegistroEntradas[[#This Row],[Data do Caixa Realizado]]))</f>
        <v>11</v>
      </c>
      <c r="J21">
        <f>IF(TbRegistroEntradas[[#This Row],[Data do Caixa Realizado]]="",0,YEAR(TbRegistroEntradas[[#This Row],[Data do Caixa Realizado]]))</f>
        <v>2017</v>
      </c>
      <c r="K21">
        <f>IF(TbRegistroEntradas[[#This Row],[Data da Competência]]="",0,MONTH(TbRegistroEntradas[[#This Row],[Data da Competência]]))</f>
        <v>10</v>
      </c>
      <c r="L21">
        <f>IF(TbRegistroEntradas[[#This Row],[Data da Competência]]="",0,YEAR(TbRegistroEntradas[[#This Row],[Data da Competência]]))</f>
        <v>2017</v>
      </c>
      <c r="M21">
        <f>IF(TbRegistroEntradas[[#This Row],[Data do Caixa Previsto]]="",0,MONTH(TbRegistroEntradas[[#This Row],[Data do Caixa Previsto]]))</f>
        <v>11</v>
      </c>
      <c r="N21">
        <f>IF(TbRegistroEntradas[[#This Row],[Data do Caixa Previsto]]="",0,YEAR(TbRegistroEntradas[[#This Row],[Data do Caixa Previsto]]))</f>
        <v>2017</v>
      </c>
      <c r="O21" t="str">
        <f ca="1">IF(AND(TbRegistroEntradas[[#This Row],[Data do Caixa Previsto]]&lt;TODAY(),TbRegistroEntradas[[#This Row],[Data do Caixa Realizado]]=""),"Vencida","Não Vencida")</f>
        <v>Não Vencida</v>
      </c>
      <c r="P21" t="str">
        <f>IF(TbRegistroEntradas[[#This Row],[Data da Competência]]=TbRegistroEntradas[[#This Row],[Data do Caixa Previsto]],"Vista","Prazo")</f>
        <v>Prazo</v>
      </c>
      <c r="Q2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" spans="2:17" x14ac:dyDescent="0.25">
      <c r="B22" s="8">
        <v>43043</v>
      </c>
      <c r="C22" s="8">
        <v>43017</v>
      </c>
      <c r="D22" s="8">
        <v>43043</v>
      </c>
      <c r="E22" t="s">
        <v>23</v>
      </c>
      <c r="F22" t="s">
        <v>32</v>
      </c>
      <c r="G22" t="s">
        <v>78</v>
      </c>
      <c r="H22" s="9">
        <v>1171</v>
      </c>
      <c r="I22">
        <f>IF(TbRegistroEntradas[[#This Row],[Data do Caixa Realizado]]="",0,MONTH(TbRegistroEntradas[[#This Row],[Data do Caixa Realizado]]))</f>
        <v>11</v>
      </c>
      <c r="J22">
        <f>IF(TbRegistroEntradas[[#This Row],[Data do Caixa Realizado]]="",0,YEAR(TbRegistroEntradas[[#This Row],[Data do Caixa Realizado]]))</f>
        <v>2017</v>
      </c>
      <c r="K22">
        <f>IF(TbRegistroEntradas[[#This Row],[Data da Competência]]="",0,MONTH(TbRegistroEntradas[[#This Row],[Data da Competência]]))</f>
        <v>10</v>
      </c>
      <c r="L22">
        <f>IF(TbRegistroEntradas[[#This Row],[Data da Competência]]="",0,YEAR(TbRegistroEntradas[[#This Row],[Data da Competência]]))</f>
        <v>2017</v>
      </c>
      <c r="M22">
        <f>IF(TbRegistroEntradas[[#This Row],[Data do Caixa Previsto]]="",0,MONTH(TbRegistroEntradas[[#This Row],[Data do Caixa Previsto]]))</f>
        <v>11</v>
      </c>
      <c r="N22">
        <f>IF(TbRegistroEntradas[[#This Row],[Data do Caixa Previsto]]="",0,YEAR(TbRegistroEntradas[[#This Row],[Data do Caixa Previsto]]))</f>
        <v>2017</v>
      </c>
      <c r="O22" t="str">
        <f ca="1">IF(AND(TbRegistroEntradas[[#This Row],[Data do Caixa Previsto]]&lt;TODAY(),TbRegistroEntradas[[#This Row],[Data do Caixa Realizado]]=""),"Vencida","Não Vencida")</f>
        <v>Não Vencida</v>
      </c>
      <c r="P22" t="str">
        <f>IF(TbRegistroEntradas[[#This Row],[Data da Competência]]=TbRegistroEntradas[[#This Row],[Data do Caixa Previsto]],"Vista","Prazo")</f>
        <v>Prazo</v>
      </c>
      <c r="Q2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" spans="2:17" x14ac:dyDescent="0.25">
      <c r="B23" s="8">
        <v>43060</v>
      </c>
      <c r="C23" s="8">
        <v>43019</v>
      </c>
      <c r="D23" s="8">
        <v>43060</v>
      </c>
      <c r="E23" t="s">
        <v>23</v>
      </c>
      <c r="F23" t="s">
        <v>34</v>
      </c>
      <c r="G23" t="s">
        <v>79</v>
      </c>
      <c r="H23" s="9">
        <v>2587</v>
      </c>
      <c r="I23">
        <f>IF(TbRegistroEntradas[[#This Row],[Data do Caixa Realizado]]="",0,MONTH(TbRegistroEntradas[[#This Row],[Data do Caixa Realizado]]))</f>
        <v>11</v>
      </c>
      <c r="J23">
        <f>IF(TbRegistroEntradas[[#This Row],[Data do Caixa Realizado]]="",0,YEAR(TbRegistroEntradas[[#This Row],[Data do Caixa Realizado]]))</f>
        <v>2017</v>
      </c>
      <c r="K23">
        <f>IF(TbRegistroEntradas[[#This Row],[Data da Competência]]="",0,MONTH(TbRegistroEntradas[[#This Row],[Data da Competência]]))</f>
        <v>10</v>
      </c>
      <c r="L23">
        <f>IF(TbRegistroEntradas[[#This Row],[Data da Competência]]="",0,YEAR(TbRegistroEntradas[[#This Row],[Data da Competência]]))</f>
        <v>2017</v>
      </c>
      <c r="M23">
        <f>IF(TbRegistroEntradas[[#This Row],[Data do Caixa Previsto]]="",0,MONTH(TbRegistroEntradas[[#This Row],[Data do Caixa Previsto]]))</f>
        <v>11</v>
      </c>
      <c r="N23">
        <f>IF(TbRegistroEntradas[[#This Row],[Data do Caixa Previsto]]="",0,YEAR(TbRegistroEntradas[[#This Row],[Data do Caixa Previsto]]))</f>
        <v>2017</v>
      </c>
      <c r="O23" t="str">
        <f ca="1">IF(AND(TbRegistroEntradas[[#This Row],[Data do Caixa Previsto]]&lt;TODAY(),TbRegistroEntradas[[#This Row],[Data do Caixa Realizado]]=""),"Vencida","Não Vencida")</f>
        <v>Não Vencida</v>
      </c>
      <c r="P23" t="str">
        <f>IF(TbRegistroEntradas[[#This Row],[Data da Competência]]=TbRegistroEntradas[[#This Row],[Data do Caixa Previsto]],"Vista","Prazo")</f>
        <v>Prazo</v>
      </c>
      <c r="Q2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4" spans="2:17" x14ac:dyDescent="0.25">
      <c r="B24" s="8" t="s">
        <v>68</v>
      </c>
      <c r="C24" s="8">
        <v>43023</v>
      </c>
      <c r="D24" s="8">
        <v>43045</v>
      </c>
      <c r="E24" t="s">
        <v>23</v>
      </c>
      <c r="F24" t="s">
        <v>34</v>
      </c>
      <c r="G24" t="s">
        <v>80</v>
      </c>
      <c r="H24" s="9">
        <v>3425</v>
      </c>
      <c r="I24">
        <f>IF(TbRegistroEntradas[[#This Row],[Data do Caixa Realizado]]="",0,MONTH(TbRegistroEntradas[[#This Row],[Data do Caixa Realizado]]))</f>
        <v>0</v>
      </c>
      <c r="J24">
        <f>IF(TbRegistroEntradas[[#This Row],[Data do Caixa Realizado]]="",0,YEAR(TbRegistroEntradas[[#This Row],[Data do Caixa Realizado]]))</f>
        <v>0</v>
      </c>
      <c r="K24">
        <f>IF(TbRegistroEntradas[[#This Row],[Data da Competência]]="",0,MONTH(TbRegistroEntradas[[#This Row],[Data da Competência]]))</f>
        <v>10</v>
      </c>
      <c r="L24">
        <f>IF(TbRegistroEntradas[[#This Row],[Data da Competência]]="",0,YEAR(TbRegistroEntradas[[#This Row],[Data da Competência]]))</f>
        <v>2017</v>
      </c>
      <c r="M24">
        <f>IF(TbRegistroEntradas[[#This Row],[Data do Caixa Previsto]]="",0,MONTH(TbRegistroEntradas[[#This Row],[Data do Caixa Previsto]]))</f>
        <v>11</v>
      </c>
      <c r="N24">
        <f>IF(TbRegistroEntradas[[#This Row],[Data do Caixa Previsto]]="",0,YEAR(TbRegistroEntradas[[#This Row],[Data do Caixa Previsto]]))</f>
        <v>2017</v>
      </c>
      <c r="O24" t="str">
        <f ca="1">IF(AND(TbRegistroEntradas[[#This Row],[Data do Caixa Previsto]]&lt;TODAY(),TbRegistroEntradas[[#This Row],[Data do Caixa Realizado]]=""),"Vencida","Não Vencida")</f>
        <v>Vencida</v>
      </c>
      <c r="P24" t="str">
        <f>IF(TbRegistroEntradas[[#This Row],[Data da Competência]]=TbRegistroEntradas[[#This Row],[Data do Caixa Previsto]],"Vista","Prazo")</f>
        <v>Prazo</v>
      </c>
      <c r="Q2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1870</v>
      </c>
    </row>
    <row r="25" spans="2:17" x14ac:dyDescent="0.25">
      <c r="B25" s="8">
        <v>43113</v>
      </c>
      <c r="C25" s="8">
        <v>43026</v>
      </c>
      <c r="D25" s="8">
        <v>43026</v>
      </c>
      <c r="E25" t="s">
        <v>23</v>
      </c>
      <c r="F25" t="s">
        <v>35</v>
      </c>
      <c r="G25" t="s">
        <v>81</v>
      </c>
      <c r="H25" s="9">
        <v>4454</v>
      </c>
      <c r="I25">
        <f>IF(TbRegistroEntradas[[#This Row],[Data do Caixa Realizado]]="",0,MONTH(TbRegistroEntradas[[#This Row],[Data do Caixa Realizado]]))</f>
        <v>1</v>
      </c>
      <c r="J25">
        <f>IF(TbRegistroEntradas[[#This Row],[Data do Caixa Realizado]]="",0,YEAR(TbRegistroEntradas[[#This Row],[Data do Caixa Realizado]]))</f>
        <v>2018</v>
      </c>
      <c r="K25">
        <f>IF(TbRegistroEntradas[[#This Row],[Data da Competência]]="",0,MONTH(TbRegistroEntradas[[#This Row],[Data da Competência]]))</f>
        <v>10</v>
      </c>
      <c r="L25">
        <f>IF(TbRegistroEntradas[[#This Row],[Data da Competência]]="",0,YEAR(TbRegistroEntradas[[#This Row],[Data da Competência]]))</f>
        <v>2017</v>
      </c>
      <c r="M25">
        <f>IF(TbRegistroEntradas[[#This Row],[Data do Caixa Previsto]]="",0,MONTH(TbRegistroEntradas[[#This Row],[Data do Caixa Previsto]]))</f>
        <v>10</v>
      </c>
      <c r="N25">
        <f>IF(TbRegistroEntradas[[#This Row],[Data do Caixa Previsto]]="",0,YEAR(TbRegistroEntradas[[#This Row],[Data do Caixa Previsto]]))</f>
        <v>2017</v>
      </c>
      <c r="O25" t="str">
        <f ca="1">IF(AND(TbRegistroEntradas[[#This Row],[Data do Caixa Previsto]]&lt;TODAY(),TbRegistroEntradas[[#This Row],[Data do Caixa Realizado]]=""),"Vencida","Não Vencida")</f>
        <v>Não Vencida</v>
      </c>
      <c r="P25" t="str">
        <f>IF(TbRegistroEntradas[[#This Row],[Data da Competência]]=TbRegistroEntradas[[#This Row],[Data do Caixa Previsto]],"Vista","Prazo")</f>
        <v>Vista</v>
      </c>
      <c r="Q2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87</v>
      </c>
    </row>
    <row r="26" spans="2:17" x14ac:dyDescent="0.25">
      <c r="B26" s="8">
        <v>43030</v>
      </c>
      <c r="C26" s="8">
        <v>43030</v>
      </c>
      <c r="D26" s="8">
        <v>43030</v>
      </c>
      <c r="E26" t="s">
        <v>23</v>
      </c>
      <c r="F26" t="s">
        <v>32</v>
      </c>
      <c r="G26" t="s">
        <v>82</v>
      </c>
      <c r="H26" s="9">
        <v>2134</v>
      </c>
      <c r="I26">
        <f>IF(TbRegistroEntradas[[#This Row],[Data do Caixa Realizado]]="",0,MONTH(TbRegistroEntradas[[#This Row],[Data do Caixa Realizado]]))</f>
        <v>10</v>
      </c>
      <c r="J26">
        <f>IF(TbRegistroEntradas[[#This Row],[Data do Caixa Realizado]]="",0,YEAR(TbRegistroEntradas[[#This Row],[Data do Caixa Realizado]]))</f>
        <v>2017</v>
      </c>
      <c r="K26">
        <f>IF(TbRegistroEntradas[[#This Row],[Data da Competência]]="",0,MONTH(TbRegistroEntradas[[#This Row],[Data da Competência]]))</f>
        <v>10</v>
      </c>
      <c r="L26">
        <f>IF(TbRegistroEntradas[[#This Row],[Data da Competência]]="",0,YEAR(TbRegistroEntradas[[#This Row],[Data da Competência]]))</f>
        <v>2017</v>
      </c>
      <c r="M26">
        <f>IF(TbRegistroEntradas[[#This Row],[Data do Caixa Previsto]]="",0,MONTH(TbRegistroEntradas[[#This Row],[Data do Caixa Previsto]]))</f>
        <v>10</v>
      </c>
      <c r="N26">
        <f>IF(TbRegistroEntradas[[#This Row],[Data do Caixa Previsto]]="",0,YEAR(TbRegistroEntradas[[#This Row],[Data do Caixa Previsto]]))</f>
        <v>2017</v>
      </c>
      <c r="O26" t="str">
        <f ca="1">IF(AND(TbRegistroEntradas[[#This Row],[Data do Caixa Previsto]]&lt;TODAY(),TbRegistroEntradas[[#This Row],[Data do Caixa Realizado]]=""),"Vencida","Não Vencida")</f>
        <v>Não Vencida</v>
      </c>
      <c r="P26" t="str">
        <f>IF(TbRegistroEntradas[[#This Row],[Data da Competência]]=TbRegistroEntradas[[#This Row],[Data do Caixa Previsto]],"Vista","Prazo")</f>
        <v>Vista</v>
      </c>
      <c r="Q2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7" spans="2:17" x14ac:dyDescent="0.25">
      <c r="B27" s="8">
        <v>43032</v>
      </c>
      <c r="C27" s="8">
        <v>43032</v>
      </c>
      <c r="D27" s="8">
        <v>43032</v>
      </c>
      <c r="E27" t="s">
        <v>23</v>
      </c>
      <c r="F27" t="s">
        <v>31</v>
      </c>
      <c r="G27" t="s">
        <v>83</v>
      </c>
      <c r="H27" s="9">
        <v>257</v>
      </c>
      <c r="I27">
        <f>IF(TbRegistroEntradas[[#This Row],[Data do Caixa Realizado]]="",0,MONTH(TbRegistroEntradas[[#This Row],[Data do Caixa Realizado]]))</f>
        <v>10</v>
      </c>
      <c r="J27">
        <f>IF(TbRegistroEntradas[[#This Row],[Data do Caixa Realizado]]="",0,YEAR(TbRegistroEntradas[[#This Row],[Data do Caixa Realizado]]))</f>
        <v>2017</v>
      </c>
      <c r="K27">
        <f>IF(TbRegistroEntradas[[#This Row],[Data da Competência]]="",0,MONTH(TbRegistroEntradas[[#This Row],[Data da Competência]]))</f>
        <v>10</v>
      </c>
      <c r="L27">
        <f>IF(TbRegistroEntradas[[#This Row],[Data da Competência]]="",0,YEAR(TbRegistroEntradas[[#This Row],[Data da Competência]]))</f>
        <v>2017</v>
      </c>
      <c r="M27">
        <f>IF(TbRegistroEntradas[[#This Row],[Data do Caixa Previsto]]="",0,MONTH(TbRegistroEntradas[[#This Row],[Data do Caixa Previsto]]))</f>
        <v>10</v>
      </c>
      <c r="N27">
        <f>IF(TbRegistroEntradas[[#This Row],[Data do Caixa Previsto]]="",0,YEAR(TbRegistroEntradas[[#This Row],[Data do Caixa Previsto]]))</f>
        <v>2017</v>
      </c>
      <c r="O27" t="str">
        <f ca="1">IF(AND(TbRegistroEntradas[[#This Row],[Data do Caixa Previsto]]&lt;TODAY(),TbRegistroEntradas[[#This Row],[Data do Caixa Realizado]]=""),"Vencida","Não Vencida")</f>
        <v>Não Vencida</v>
      </c>
      <c r="P27" t="str">
        <f>IF(TbRegistroEntradas[[#This Row],[Data da Competência]]=TbRegistroEntradas[[#This Row],[Data do Caixa Previsto]],"Vista","Prazo")</f>
        <v>Vista</v>
      </c>
      <c r="Q2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8" spans="2:17" x14ac:dyDescent="0.25">
      <c r="B28" s="8">
        <v>43122</v>
      </c>
      <c r="C28" s="8">
        <v>43032</v>
      </c>
      <c r="D28" s="8">
        <v>43068</v>
      </c>
      <c r="E28" t="s">
        <v>23</v>
      </c>
      <c r="F28" t="s">
        <v>33</v>
      </c>
      <c r="G28" t="s">
        <v>84</v>
      </c>
      <c r="H28" s="9">
        <v>2019</v>
      </c>
      <c r="I28">
        <f>IF(TbRegistroEntradas[[#This Row],[Data do Caixa Realizado]]="",0,MONTH(TbRegistroEntradas[[#This Row],[Data do Caixa Realizado]]))</f>
        <v>1</v>
      </c>
      <c r="J28">
        <f>IF(TbRegistroEntradas[[#This Row],[Data do Caixa Realizado]]="",0,YEAR(TbRegistroEntradas[[#This Row],[Data do Caixa Realizado]]))</f>
        <v>2018</v>
      </c>
      <c r="K28">
        <f>IF(TbRegistroEntradas[[#This Row],[Data da Competência]]="",0,MONTH(TbRegistroEntradas[[#This Row],[Data da Competência]]))</f>
        <v>10</v>
      </c>
      <c r="L28">
        <f>IF(TbRegistroEntradas[[#This Row],[Data da Competência]]="",0,YEAR(TbRegistroEntradas[[#This Row],[Data da Competência]]))</f>
        <v>2017</v>
      </c>
      <c r="M28">
        <f>IF(TbRegistroEntradas[[#This Row],[Data do Caixa Previsto]]="",0,MONTH(TbRegistroEntradas[[#This Row],[Data do Caixa Previsto]]))</f>
        <v>11</v>
      </c>
      <c r="N28">
        <f>IF(TbRegistroEntradas[[#This Row],[Data do Caixa Previsto]]="",0,YEAR(TbRegistroEntradas[[#This Row],[Data do Caixa Previsto]]))</f>
        <v>2017</v>
      </c>
      <c r="O28" t="str">
        <f ca="1">IF(AND(TbRegistroEntradas[[#This Row],[Data do Caixa Previsto]]&lt;TODAY(),TbRegistroEntradas[[#This Row],[Data do Caixa Realizado]]=""),"Vencida","Não Vencida")</f>
        <v>Não Vencida</v>
      </c>
      <c r="P28" t="str">
        <f>IF(TbRegistroEntradas[[#This Row],[Data da Competência]]=TbRegistroEntradas[[#This Row],[Data do Caixa Previsto]],"Vista","Prazo")</f>
        <v>Prazo</v>
      </c>
      <c r="Q2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54</v>
      </c>
    </row>
    <row r="29" spans="2:17" x14ac:dyDescent="0.25">
      <c r="B29" s="8">
        <v>43034</v>
      </c>
      <c r="C29" s="8">
        <v>43034</v>
      </c>
      <c r="D29" s="8">
        <v>43034</v>
      </c>
      <c r="E29" t="s">
        <v>23</v>
      </c>
      <c r="F29" t="s">
        <v>34</v>
      </c>
      <c r="G29" t="s">
        <v>85</v>
      </c>
      <c r="H29" s="9">
        <v>3696</v>
      </c>
      <c r="I29">
        <f>IF(TbRegistroEntradas[[#This Row],[Data do Caixa Realizado]]="",0,MONTH(TbRegistroEntradas[[#This Row],[Data do Caixa Realizado]]))</f>
        <v>10</v>
      </c>
      <c r="J29">
        <f>IF(TbRegistroEntradas[[#This Row],[Data do Caixa Realizado]]="",0,YEAR(TbRegistroEntradas[[#This Row],[Data do Caixa Realizado]]))</f>
        <v>2017</v>
      </c>
      <c r="K29">
        <f>IF(TbRegistroEntradas[[#This Row],[Data da Competência]]="",0,MONTH(TbRegistroEntradas[[#This Row],[Data da Competência]]))</f>
        <v>10</v>
      </c>
      <c r="L29">
        <f>IF(TbRegistroEntradas[[#This Row],[Data da Competência]]="",0,YEAR(TbRegistroEntradas[[#This Row],[Data da Competência]]))</f>
        <v>2017</v>
      </c>
      <c r="M29">
        <f>IF(TbRegistroEntradas[[#This Row],[Data do Caixa Previsto]]="",0,MONTH(TbRegistroEntradas[[#This Row],[Data do Caixa Previsto]]))</f>
        <v>10</v>
      </c>
      <c r="N29">
        <f>IF(TbRegistroEntradas[[#This Row],[Data do Caixa Previsto]]="",0,YEAR(TbRegistroEntradas[[#This Row],[Data do Caixa Previsto]]))</f>
        <v>2017</v>
      </c>
      <c r="O29" t="str">
        <f ca="1">IF(AND(TbRegistroEntradas[[#This Row],[Data do Caixa Previsto]]&lt;TODAY(),TbRegistroEntradas[[#This Row],[Data do Caixa Realizado]]=""),"Vencida","Não Vencida")</f>
        <v>Não Vencida</v>
      </c>
      <c r="P29" t="str">
        <f>IF(TbRegistroEntradas[[#This Row],[Data da Competência]]=TbRegistroEntradas[[#This Row],[Data do Caixa Previsto]],"Vista","Prazo")</f>
        <v>Vista</v>
      </c>
      <c r="Q2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0" spans="2:17" x14ac:dyDescent="0.25">
      <c r="B30" s="8">
        <v>43052</v>
      </c>
      <c r="C30" s="8">
        <v>43038</v>
      </c>
      <c r="D30" s="8">
        <v>43052</v>
      </c>
      <c r="E30" t="s">
        <v>23</v>
      </c>
      <c r="F30" t="s">
        <v>33</v>
      </c>
      <c r="G30" t="s">
        <v>86</v>
      </c>
      <c r="H30" s="9">
        <v>4446</v>
      </c>
      <c r="I30">
        <f>IF(TbRegistroEntradas[[#This Row],[Data do Caixa Realizado]]="",0,MONTH(TbRegistroEntradas[[#This Row],[Data do Caixa Realizado]]))</f>
        <v>11</v>
      </c>
      <c r="J30">
        <f>IF(TbRegistroEntradas[[#This Row],[Data do Caixa Realizado]]="",0,YEAR(TbRegistroEntradas[[#This Row],[Data do Caixa Realizado]]))</f>
        <v>2017</v>
      </c>
      <c r="K30">
        <f>IF(TbRegistroEntradas[[#This Row],[Data da Competência]]="",0,MONTH(TbRegistroEntradas[[#This Row],[Data da Competência]]))</f>
        <v>10</v>
      </c>
      <c r="L30">
        <f>IF(TbRegistroEntradas[[#This Row],[Data da Competência]]="",0,YEAR(TbRegistroEntradas[[#This Row],[Data da Competência]]))</f>
        <v>2017</v>
      </c>
      <c r="M30">
        <f>IF(TbRegistroEntradas[[#This Row],[Data do Caixa Previsto]]="",0,MONTH(TbRegistroEntradas[[#This Row],[Data do Caixa Previsto]]))</f>
        <v>11</v>
      </c>
      <c r="N30">
        <f>IF(TbRegistroEntradas[[#This Row],[Data do Caixa Previsto]]="",0,YEAR(TbRegistroEntradas[[#This Row],[Data do Caixa Previsto]]))</f>
        <v>2017</v>
      </c>
      <c r="O30" t="str">
        <f ca="1">IF(AND(TbRegistroEntradas[[#This Row],[Data do Caixa Previsto]]&lt;TODAY(),TbRegistroEntradas[[#This Row],[Data do Caixa Realizado]]=""),"Vencida","Não Vencida")</f>
        <v>Não Vencida</v>
      </c>
      <c r="P30" t="str">
        <f>IF(TbRegistroEntradas[[#This Row],[Data da Competência]]=TbRegistroEntradas[[#This Row],[Data do Caixa Previsto]],"Vista","Prazo")</f>
        <v>Prazo</v>
      </c>
      <c r="Q3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1" spans="2:17" x14ac:dyDescent="0.25">
      <c r="B31" s="8" t="s">
        <v>68</v>
      </c>
      <c r="C31" s="8">
        <v>43040</v>
      </c>
      <c r="D31" s="8">
        <v>43057</v>
      </c>
      <c r="E31" t="s">
        <v>23</v>
      </c>
      <c r="F31" t="s">
        <v>33</v>
      </c>
      <c r="G31" t="s">
        <v>87</v>
      </c>
      <c r="H31" s="9">
        <v>1445</v>
      </c>
      <c r="I31">
        <f>IF(TbRegistroEntradas[[#This Row],[Data do Caixa Realizado]]="",0,MONTH(TbRegistroEntradas[[#This Row],[Data do Caixa Realizado]]))</f>
        <v>0</v>
      </c>
      <c r="J31">
        <f>IF(TbRegistroEntradas[[#This Row],[Data do Caixa Realizado]]="",0,YEAR(TbRegistroEntradas[[#This Row],[Data do Caixa Realizado]]))</f>
        <v>0</v>
      </c>
      <c r="K31">
        <f>IF(TbRegistroEntradas[[#This Row],[Data da Competência]]="",0,MONTH(TbRegistroEntradas[[#This Row],[Data da Competência]]))</f>
        <v>11</v>
      </c>
      <c r="L31">
        <f>IF(TbRegistroEntradas[[#This Row],[Data da Competência]]="",0,YEAR(TbRegistroEntradas[[#This Row],[Data da Competência]]))</f>
        <v>2017</v>
      </c>
      <c r="M31">
        <f>IF(TbRegistroEntradas[[#This Row],[Data do Caixa Previsto]]="",0,MONTH(TbRegistroEntradas[[#This Row],[Data do Caixa Previsto]]))</f>
        <v>11</v>
      </c>
      <c r="N31">
        <f>IF(TbRegistroEntradas[[#This Row],[Data do Caixa Previsto]]="",0,YEAR(TbRegistroEntradas[[#This Row],[Data do Caixa Previsto]]))</f>
        <v>2017</v>
      </c>
      <c r="O31" t="str">
        <f ca="1">IF(AND(TbRegistroEntradas[[#This Row],[Data do Caixa Previsto]]&lt;TODAY(),TbRegistroEntradas[[#This Row],[Data do Caixa Realizado]]=""),"Vencida","Não Vencida")</f>
        <v>Vencida</v>
      </c>
      <c r="P31" t="str">
        <f>IF(TbRegistroEntradas[[#This Row],[Data da Competência]]=TbRegistroEntradas[[#This Row],[Data do Caixa Previsto]],"Vista","Prazo")</f>
        <v>Prazo</v>
      </c>
      <c r="Q3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1858</v>
      </c>
    </row>
    <row r="32" spans="2:17" x14ac:dyDescent="0.25">
      <c r="B32" s="8">
        <v>43117</v>
      </c>
      <c r="C32" s="8">
        <v>43043</v>
      </c>
      <c r="D32" s="8">
        <v>43068</v>
      </c>
      <c r="E32" t="s">
        <v>23</v>
      </c>
      <c r="F32" t="s">
        <v>32</v>
      </c>
      <c r="G32" t="s">
        <v>88</v>
      </c>
      <c r="H32" s="9">
        <v>3559</v>
      </c>
      <c r="I32">
        <f>IF(TbRegistroEntradas[[#This Row],[Data do Caixa Realizado]]="",0,MONTH(TbRegistroEntradas[[#This Row],[Data do Caixa Realizado]]))</f>
        <v>1</v>
      </c>
      <c r="J32">
        <f>IF(TbRegistroEntradas[[#This Row],[Data do Caixa Realizado]]="",0,YEAR(TbRegistroEntradas[[#This Row],[Data do Caixa Realizado]]))</f>
        <v>2018</v>
      </c>
      <c r="K32">
        <f>IF(TbRegistroEntradas[[#This Row],[Data da Competência]]="",0,MONTH(TbRegistroEntradas[[#This Row],[Data da Competência]]))</f>
        <v>11</v>
      </c>
      <c r="L32">
        <f>IF(TbRegistroEntradas[[#This Row],[Data da Competência]]="",0,YEAR(TbRegistroEntradas[[#This Row],[Data da Competência]]))</f>
        <v>2017</v>
      </c>
      <c r="M32">
        <f>IF(TbRegistroEntradas[[#This Row],[Data do Caixa Previsto]]="",0,MONTH(TbRegistroEntradas[[#This Row],[Data do Caixa Previsto]]))</f>
        <v>11</v>
      </c>
      <c r="N32">
        <f>IF(TbRegistroEntradas[[#This Row],[Data do Caixa Previsto]]="",0,YEAR(TbRegistroEntradas[[#This Row],[Data do Caixa Previsto]]))</f>
        <v>2017</v>
      </c>
      <c r="O32" t="str">
        <f ca="1">IF(AND(TbRegistroEntradas[[#This Row],[Data do Caixa Previsto]]&lt;TODAY(),TbRegistroEntradas[[#This Row],[Data do Caixa Realizado]]=""),"Vencida","Não Vencida")</f>
        <v>Não Vencida</v>
      </c>
      <c r="P32" t="str">
        <f>IF(TbRegistroEntradas[[#This Row],[Data da Competência]]=TbRegistroEntradas[[#This Row],[Data do Caixa Previsto]],"Vista","Prazo")</f>
        <v>Prazo</v>
      </c>
      <c r="Q3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49</v>
      </c>
    </row>
    <row r="33" spans="2:17" x14ac:dyDescent="0.25">
      <c r="B33" s="8">
        <v>43047</v>
      </c>
      <c r="C33" s="8">
        <v>43047</v>
      </c>
      <c r="D33" s="8">
        <v>43047</v>
      </c>
      <c r="E33" t="s">
        <v>23</v>
      </c>
      <c r="F33" t="s">
        <v>34</v>
      </c>
      <c r="G33" t="s">
        <v>89</v>
      </c>
      <c r="H33" s="9">
        <v>547</v>
      </c>
      <c r="I33">
        <f>IF(TbRegistroEntradas[[#This Row],[Data do Caixa Realizado]]="",0,MONTH(TbRegistroEntradas[[#This Row],[Data do Caixa Realizado]]))</f>
        <v>11</v>
      </c>
      <c r="J33">
        <f>IF(TbRegistroEntradas[[#This Row],[Data do Caixa Realizado]]="",0,YEAR(TbRegistroEntradas[[#This Row],[Data do Caixa Realizado]]))</f>
        <v>2017</v>
      </c>
      <c r="K33">
        <f>IF(TbRegistroEntradas[[#This Row],[Data da Competência]]="",0,MONTH(TbRegistroEntradas[[#This Row],[Data da Competência]]))</f>
        <v>11</v>
      </c>
      <c r="L33">
        <f>IF(TbRegistroEntradas[[#This Row],[Data da Competência]]="",0,YEAR(TbRegistroEntradas[[#This Row],[Data da Competência]]))</f>
        <v>2017</v>
      </c>
      <c r="M33">
        <f>IF(TbRegistroEntradas[[#This Row],[Data do Caixa Previsto]]="",0,MONTH(TbRegistroEntradas[[#This Row],[Data do Caixa Previsto]]))</f>
        <v>11</v>
      </c>
      <c r="N33">
        <f>IF(TbRegistroEntradas[[#This Row],[Data do Caixa Previsto]]="",0,YEAR(TbRegistroEntradas[[#This Row],[Data do Caixa Previsto]]))</f>
        <v>2017</v>
      </c>
      <c r="O33" t="str">
        <f ca="1">IF(AND(TbRegistroEntradas[[#This Row],[Data do Caixa Previsto]]&lt;TODAY(),TbRegistroEntradas[[#This Row],[Data do Caixa Realizado]]=""),"Vencida","Não Vencida")</f>
        <v>Não Vencida</v>
      </c>
      <c r="P33" t="str">
        <f>IF(TbRegistroEntradas[[#This Row],[Data da Competência]]=TbRegistroEntradas[[#This Row],[Data do Caixa Previsto]],"Vista","Prazo")</f>
        <v>Vista</v>
      </c>
      <c r="Q3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4" spans="2:17" x14ac:dyDescent="0.25">
      <c r="B34" s="8">
        <v>43077</v>
      </c>
      <c r="C34" s="8">
        <v>43051</v>
      </c>
      <c r="D34" s="8">
        <v>43051</v>
      </c>
      <c r="E34" t="s">
        <v>23</v>
      </c>
      <c r="F34" t="s">
        <v>34</v>
      </c>
      <c r="G34" t="s">
        <v>90</v>
      </c>
      <c r="H34" s="9">
        <v>1221</v>
      </c>
      <c r="I34">
        <f>IF(TbRegistroEntradas[[#This Row],[Data do Caixa Realizado]]="",0,MONTH(TbRegistroEntradas[[#This Row],[Data do Caixa Realizado]]))</f>
        <v>12</v>
      </c>
      <c r="J34">
        <f>IF(TbRegistroEntradas[[#This Row],[Data do Caixa Realizado]]="",0,YEAR(TbRegistroEntradas[[#This Row],[Data do Caixa Realizado]]))</f>
        <v>2017</v>
      </c>
      <c r="K34">
        <f>IF(TbRegistroEntradas[[#This Row],[Data da Competência]]="",0,MONTH(TbRegistroEntradas[[#This Row],[Data da Competência]]))</f>
        <v>11</v>
      </c>
      <c r="L34">
        <f>IF(TbRegistroEntradas[[#This Row],[Data da Competência]]="",0,YEAR(TbRegistroEntradas[[#This Row],[Data da Competência]]))</f>
        <v>2017</v>
      </c>
      <c r="M34">
        <f>IF(TbRegistroEntradas[[#This Row],[Data do Caixa Previsto]]="",0,MONTH(TbRegistroEntradas[[#This Row],[Data do Caixa Previsto]]))</f>
        <v>11</v>
      </c>
      <c r="N34">
        <f>IF(TbRegistroEntradas[[#This Row],[Data do Caixa Previsto]]="",0,YEAR(TbRegistroEntradas[[#This Row],[Data do Caixa Previsto]]))</f>
        <v>2017</v>
      </c>
      <c r="O34" t="str">
        <f ca="1">IF(AND(TbRegistroEntradas[[#This Row],[Data do Caixa Previsto]]&lt;TODAY(),TbRegistroEntradas[[#This Row],[Data do Caixa Realizado]]=""),"Vencida","Não Vencida")</f>
        <v>Não Vencida</v>
      </c>
      <c r="P34" t="str">
        <f>IF(TbRegistroEntradas[[#This Row],[Data da Competência]]=TbRegistroEntradas[[#This Row],[Data do Caixa Previsto]],"Vista","Prazo")</f>
        <v>Vista</v>
      </c>
      <c r="Q3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26</v>
      </c>
    </row>
    <row r="35" spans="2:17" x14ac:dyDescent="0.25">
      <c r="B35" s="8">
        <v>43101</v>
      </c>
      <c r="C35" s="8">
        <v>43053</v>
      </c>
      <c r="D35" s="8">
        <v>43101</v>
      </c>
      <c r="E35" t="s">
        <v>23</v>
      </c>
      <c r="F35" t="s">
        <v>33</v>
      </c>
      <c r="G35" t="s">
        <v>91</v>
      </c>
      <c r="H35" s="9">
        <v>4108</v>
      </c>
      <c r="I35">
        <f>IF(TbRegistroEntradas[[#This Row],[Data do Caixa Realizado]]="",0,MONTH(TbRegistroEntradas[[#This Row],[Data do Caixa Realizado]]))</f>
        <v>1</v>
      </c>
      <c r="J35">
        <f>IF(TbRegistroEntradas[[#This Row],[Data do Caixa Realizado]]="",0,YEAR(TbRegistroEntradas[[#This Row],[Data do Caixa Realizado]]))</f>
        <v>2018</v>
      </c>
      <c r="K35">
        <f>IF(TbRegistroEntradas[[#This Row],[Data da Competência]]="",0,MONTH(TbRegistroEntradas[[#This Row],[Data da Competência]]))</f>
        <v>11</v>
      </c>
      <c r="L35">
        <f>IF(TbRegistroEntradas[[#This Row],[Data da Competência]]="",0,YEAR(TbRegistroEntradas[[#This Row],[Data da Competência]]))</f>
        <v>2017</v>
      </c>
      <c r="M35">
        <f>IF(TbRegistroEntradas[[#This Row],[Data do Caixa Previsto]]="",0,MONTH(TbRegistroEntradas[[#This Row],[Data do Caixa Previsto]]))</f>
        <v>1</v>
      </c>
      <c r="N35">
        <f>IF(TbRegistroEntradas[[#This Row],[Data do Caixa Previsto]]="",0,YEAR(TbRegistroEntradas[[#This Row],[Data do Caixa Previsto]]))</f>
        <v>2018</v>
      </c>
      <c r="O35" t="str">
        <f ca="1">IF(AND(TbRegistroEntradas[[#This Row],[Data do Caixa Previsto]]&lt;TODAY(),TbRegistroEntradas[[#This Row],[Data do Caixa Realizado]]=""),"Vencida","Não Vencida")</f>
        <v>Não Vencida</v>
      </c>
      <c r="P35" t="str">
        <f>IF(TbRegistroEntradas[[#This Row],[Data da Competência]]=TbRegistroEntradas[[#This Row],[Data do Caixa Previsto]],"Vista","Prazo")</f>
        <v>Prazo</v>
      </c>
      <c r="Q3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6" spans="2:17" x14ac:dyDescent="0.25">
      <c r="B36" s="8">
        <v>43055</v>
      </c>
      <c r="C36" s="8">
        <v>43055</v>
      </c>
      <c r="D36" s="8">
        <v>43055</v>
      </c>
      <c r="E36" t="s">
        <v>23</v>
      </c>
      <c r="F36" t="s">
        <v>34</v>
      </c>
      <c r="G36" t="s">
        <v>92</v>
      </c>
      <c r="H36" s="9">
        <v>3714</v>
      </c>
      <c r="I36">
        <f>IF(TbRegistroEntradas[[#This Row],[Data do Caixa Realizado]]="",0,MONTH(TbRegistroEntradas[[#This Row],[Data do Caixa Realizado]]))</f>
        <v>11</v>
      </c>
      <c r="J36">
        <f>IF(TbRegistroEntradas[[#This Row],[Data do Caixa Realizado]]="",0,YEAR(TbRegistroEntradas[[#This Row],[Data do Caixa Realizado]]))</f>
        <v>2017</v>
      </c>
      <c r="K36">
        <f>IF(TbRegistroEntradas[[#This Row],[Data da Competência]]="",0,MONTH(TbRegistroEntradas[[#This Row],[Data da Competência]]))</f>
        <v>11</v>
      </c>
      <c r="L36">
        <f>IF(TbRegistroEntradas[[#This Row],[Data da Competência]]="",0,YEAR(TbRegistroEntradas[[#This Row],[Data da Competência]]))</f>
        <v>2017</v>
      </c>
      <c r="M36">
        <f>IF(TbRegistroEntradas[[#This Row],[Data do Caixa Previsto]]="",0,MONTH(TbRegistroEntradas[[#This Row],[Data do Caixa Previsto]]))</f>
        <v>11</v>
      </c>
      <c r="N36">
        <f>IF(TbRegistroEntradas[[#This Row],[Data do Caixa Previsto]]="",0,YEAR(TbRegistroEntradas[[#This Row],[Data do Caixa Previsto]]))</f>
        <v>2017</v>
      </c>
      <c r="O36" t="str">
        <f ca="1">IF(AND(TbRegistroEntradas[[#This Row],[Data do Caixa Previsto]]&lt;TODAY(),TbRegistroEntradas[[#This Row],[Data do Caixa Realizado]]=""),"Vencida","Não Vencida")</f>
        <v>Não Vencida</v>
      </c>
      <c r="P36" t="str">
        <f>IF(TbRegistroEntradas[[#This Row],[Data da Competência]]=TbRegistroEntradas[[#This Row],[Data do Caixa Previsto]],"Vista","Prazo")</f>
        <v>Vista</v>
      </c>
      <c r="Q3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7" spans="2:17" x14ac:dyDescent="0.25">
      <c r="B37" s="8" t="s">
        <v>68</v>
      </c>
      <c r="C37" s="8">
        <v>43057</v>
      </c>
      <c r="D37" s="8">
        <v>43101</v>
      </c>
      <c r="E37" t="s">
        <v>23</v>
      </c>
      <c r="F37" t="s">
        <v>31</v>
      </c>
      <c r="G37" t="s">
        <v>93</v>
      </c>
      <c r="H37" s="9">
        <v>4843</v>
      </c>
      <c r="I37">
        <f>IF(TbRegistroEntradas[[#This Row],[Data do Caixa Realizado]]="",0,MONTH(TbRegistroEntradas[[#This Row],[Data do Caixa Realizado]]))</f>
        <v>0</v>
      </c>
      <c r="J37">
        <f>IF(TbRegistroEntradas[[#This Row],[Data do Caixa Realizado]]="",0,YEAR(TbRegistroEntradas[[#This Row],[Data do Caixa Realizado]]))</f>
        <v>0</v>
      </c>
      <c r="K37">
        <f>IF(TbRegistroEntradas[[#This Row],[Data da Competência]]="",0,MONTH(TbRegistroEntradas[[#This Row],[Data da Competência]]))</f>
        <v>11</v>
      </c>
      <c r="L37">
        <f>IF(TbRegistroEntradas[[#This Row],[Data da Competência]]="",0,YEAR(TbRegistroEntradas[[#This Row],[Data da Competência]]))</f>
        <v>2017</v>
      </c>
      <c r="M37">
        <f>IF(TbRegistroEntradas[[#This Row],[Data do Caixa Previsto]]="",0,MONTH(TbRegistroEntradas[[#This Row],[Data do Caixa Previsto]]))</f>
        <v>1</v>
      </c>
      <c r="N37">
        <f>IF(TbRegistroEntradas[[#This Row],[Data do Caixa Previsto]]="",0,YEAR(TbRegistroEntradas[[#This Row],[Data do Caixa Previsto]]))</f>
        <v>2018</v>
      </c>
      <c r="O37" t="str">
        <f ca="1">IF(AND(TbRegistroEntradas[[#This Row],[Data do Caixa Previsto]]&lt;TODAY(),TbRegistroEntradas[[#This Row],[Data do Caixa Realizado]]=""),"Vencida","Não Vencida")</f>
        <v>Vencida</v>
      </c>
      <c r="P37" t="str">
        <f>IF(TbRegistroEntradas[[#This Row],[Data da Competência]]=TbRegistroEntradas[[#This Row],[Data do Caixa Previsto]],"Vista","Prazo")</f>
        <v>Prazo</v>
      </c>
      <c r="Q3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1814</v>
      </c>
    </row>
    <row r="38" spans="2:17" x14ac:dyDescent="0.25">
      <c r="B38" s="8">
        <v>43090</v>
      </c>
      <c r="C38" s="8">
        <v>43058</v>
      </c>
      <c r="D38" s="8">
        <v>43090</v>
      </c>
      <c r="E38" t="s">
        <v>23</v>
      </c>
      <c r="F38" t="s">
        <v>35</v>
      </c>
      <c r="G38" t="s">
        <v>94</v>
      </c>
      <c r="H38" s="9">
        <v>4831</v>
      </c>
      <c r="I38">
        <f>IF(TbRegistroEntradas[[#This Row],[Data do Caixa Realizado]]="",0,MONTH(TbRegistroEntradas[[#This Row],[Data do Caixa Realizado]]))</f>
        <v>12</v>
      </c>
      <c r="J38">
        <f>IF(TbRegistroEntradas[[#This Row],[Data do Caixa Realizado]]="",0,YEAR(TbRegistroEntradas[[#This Row],[Data do Caixa Realizado]]))</f>
        <v>2017</v>
      </c>
      <c r="K38">
        <f>IF(TbRegistroEntradas[[#This Row],[Data da Competência]]="",0,MONTH(TbRegistroEntradas[[#This Row],[Data da Competência]]))</f>
        <v>11</v>
      </c>
      <c r="L38">
        <f>IF(TbRegistroEntradas[[#This Row],[Data da Competência]]="",0,YEAR(TbRegistroEntradas[[#This Row],[Data da Competência]]))</f>
        <v>2017</v>
      </c>
      <c r="M38">
        <f>IF(TbRegistroEntradas[[#This Row],[Data do Caixa Previsto]]="",0,MONTH(TbRegistroEntradas[[#This Row],[Data do Caixa Previsto]]))</f>
        <v>12</v>
      </c>
      <c r="N38">
        <f>IF(TbRegistroEntradas[[#This Row],[Data do Caixa Previsto]]="",0,YEAR(TbRegistroEntradas[[#This Row],[Data do Caixa Previsto]]))</f>
        <v>2017</v>
      </c>
      <c r="O38" t="str">
        <f ca="1">IF(AND(TbRegistroEntradas[[#This Row],[Data do Caixa Previsto]]&lt;TODAY(),TbRegistroEntradas[[#This Row],[Data do Caixa Realizado]]=""),"Vencida","Não Vencida")</f>
        <v>Não Vencida</v>
      </c>
      <c r="P38" t="str">
        <f>IF(TbRegistroEntradas[[#This Row],[Data da Competência]]=TbRegistroEntradas[[#This Row],[Data do Caixa Previsto]],"Vista","Prazo")</f>
        <v>Prazo</v>
      </c>
      <c r="Q3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39" spans="2:17" x14ac:dyDescent="0.25">
      <c r="B39" s="8">
        <v>43059</v>
      </c>
      <c r="C39" s="8">
        <v>43059</v>
      </c>
      <c r="D39" s="8">
        <v>43059</v>
      </c>
      <c r="E39" t="s">
        <v>23</v>
      </c>
      <c r="F39" t="s">
        <v>34</v>
      </c>
      <c r="G39" t="s">
        <v>95</v>
      </c>
      <c r="H39" s="9">
        <v>2072</v>
      </c>
      <c r="I39">
        <f>IF(TbRegistroEntradas[[#This Row],[Data do Caixa Realizado]]="",0,MONTH(TbRegistroEntradas[[#This Row],[Data do Caixa Realizado]]))</f>
        <v>11</v>
      </c>
      <c r="J39">
        <f>IF(TbRegistroEntradas[[#This Row],[Data do Caixa Realizado]]="",0,YEAR(TbRegistroEntradas[[#This Row],[Data do Caixa Realizado]]))</f>
        <v>2017</v>
      </c>
      <c r="K39">
        <f>IF(TbRegistroEntradas[[#This Row],[Data da Competência]]="",0,MONTH(TbRegistroEntradas[[#This Row],[Data da Competência]]))</f>
        <v>11</v>
      </c>
      <c r="L39">
        <f>IF(TbRegistroEntradas[[#This Row],[Data da Competência]]="",0,YEAR(TbRegistroEntradas[[#This Row],[Data da Competência]]))</f>
        <v>2017</v>
      </c>
      <c r="M39">
        <f>IF(TbRegistroEntradas[[#This Row],[Data do Caixa Previsto]]="",0,MONTH(TbRegistroEntradas[[#This Row],[Data do Caixa Previsto]]))</f>
        <v>11</v>
      </c>
      <c r="N39">
        <f>IF(TbRegistroEntradas[[#This Row],[Data do Caixa Previsto]]="",0,YEAR(TbRegistroEntradas[[#This Row],[Data do Caixa Previsto]]))</f>
        <v>2017</v>
      </c>
      <c r="O39" t="str">
        <f ca="1">IF(AND(TbRegistroEntradas[[#This Row],[Data do Caixa Previsto]]&lt;TODAY(),TbRegistroEntradas[[#This Row],[Data do Caixa Realizado]]=""),"Vencida","Não Vencida")</f>
        <v>Não Vencida</v>
      </c>
      <c r="P39" t="str">
        <f>IF(TbRegistroEntradas[[#This Row],[Data da Competência]]=TbRegistroEntradas[[#This Row],[Data do Caixa Previsto]],"Vista","Prazo")</f>
        <v>Vista</v>
      </c>
      <c r="Q3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0" spans="2:17" x14ac:dyDescent="0.25">
      <c r="B40" s="8">
        <v>43122</v>
      </c>
      <c r="C40" s="8">
        <v>43063</v>
      </c>
      <c r="D40" s="8">
        <v>43122</v>
      </c>
      <c r="E40" t="s">
        <v>23</v>
      </c>
      <c r="F40" t="s">
        <v>32</v>
      </c>
      <c r="G40" t="s">
        <v>96</v>
      </c>
      <c r="H40" s="9">
        <v>3992</v>
      </c>
      <c r="I40">
        <f>IF(TbRegistroEntradas[[#This Row],[Data do Caixa Realizado]]="",0,MONTH(TbRegistroEntradas[[#This Row],[Data do Caixa Realizado]]))</f>
        <v>1</v>
      </c>
      <c r="J40">
        <f>IF(TbRegistroEntradas[[#This Row],[Data do Caixa Realizado]]="",0,YEAR(TbRegistroEntradas[[#This Row],[Data do Caixa Realizado]]))</f>
        <v>2018</v>
      </c>
      <c r="K40">
        <f>IF(TbRegistroEntradas[[#This Row],[Data da Competência]]="",0,MONTH(TbRegistroEntradas[[#This Row],[Data da Competência]]))</f>
        <v>11</v>
      </c>
      <c r="L40">
        <f>IF(TbRegistroEntradas[[#This Row],[Data da Competência]]="",0,YEAR(TbRegistroEntradas[[#This Row],[Data da Competência]]))</f>
        <v>2017</v>
      </c>
      <c r="M40">
        <f>IF(TbRegistroEntradas[[#This Row],[Data do Caixa Previsto]]="",0,MONTH(TbRegistroEntradas[[#This Row],[Data do Caixa Previsto]]))</f>
        <v>1</v>
      </c>
      <c r="N40">
        <f>IF(TbRegistroEntradas[[#This Row],[Data do Caixa Previsto]]="",0,YEAR(TbRegistroEntradas[[#This Row],[Data do Caixa Previsto]]))</f>
        <v>2018</v>
      </c>
      <c r="O40" t="str">
        <f ca="1">IF(AND(TbRegistroEntradas[[#This Row],[Data do Caixa Previsto]]&lt;TODAY(),TbRegistroEntradas[[#This Row],[Data do Caixa Realizado]]=""),"Vencida","Não Vencida")</f>
        <v>Não Vencida</v>
      </c>
      <c r="P40" t="str">
        <f>IF(TbRegistroEntradas[[#This Row],[Data da Competência]]=TbRegistroEntradas[[#This Row],[Data do Caixa Previsto]],"Vista","Prazo")</f>
        <v>Prazo</v>
      </c>
      <c r="Q4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1" spans="2:17" x14ac:dyDescent="0.25">
      <c r="B41" s="8">
        <v>43114</v>
      </c>
      <c r="C41" s="8">
        <v>43068</v>
      </c>
      <c r="D41" s="8">
        <v>43068</v>
      </c>
      <c r="E41" t="s">
        <v>23</v>
      </c>
      <c r="F41" t="s">
        <v>31</v>
      </c>
      <c r="G41" t="s">
        <v>97</v>
      </c>
      <c r="H41" s="9">
        <v>1284</v>
      </c>
      <c r="I41">
        <f>IF(TbRegistroEntradas[[#This Row],[Data do Caixa Realizado]]="",0,MONTH(TbRegistroEntradas[[#This Row],[Data do Caixa Realizado]]))</f>
        <v>1</v>
      </c>
      <c r="J41">
        <f>IF(TbRegistroEntradas[[#This Row],[Data do Caixa Realizado]]="",0,YEAR(TbRegistroEntradas[[#This Row],[Data do Caixa Realizado]]))</f>
        <v>2018</v>
      </c>
      <c r="K41">
        <f>IF(TbRegistroEntradas[[#This Row],[Data da Competência]]="",0,MONTH(TbRegistroEntradas[[#This Row],[Data da Competência]]))</f>
        <v>11</v>
      </c>
      <c r="L41">
        <f>IF(TbRegistroEntradas[[#This Row],[Data da Competência]]="",0,YEAR(TbRegistroEntradas[[#This Row],[Data da Competência]]))</f>
        <v>2017</v>
      </c>
      <c r="M41">
        <f>IF(TbRegistroEntradas[[#This Row],[Data do Caixa Previsto]]="",0,MONTH(TbRegistroEntradas[[#This Row],[Data do Caixa Previsto]]))</f>
        <v>11</v>
      </c>
      <c r="N41">
        <f>IF(TbRegistroEntradas[[#This Row],[Data do Caixa Previsto]]="",0,YEAR(TbRegistroEntradas[[#This Row],[Data do Caixa Previsto]]))</f>
        <v>2017</v>
      </c>
      <c r="O41" t="str">
        <f ca="1">IF(AND(TbRegistroEntradas[[#This Row],[Data do Caixa Previsto]]&lt;TODAY(),TbRegistroEntradas[[#This Row],[Data do Caixa Realizado]]=""),"Vencida","Não Vencida")</f>
        <v>Não Vencida</v>
      </c>
      <c r="P41" t="str">
        <f>IF(TbRegistroEntradas[[#This Row],[Data da Competência]]=TbRegistroEntradas[[#This Row],[Data do Caixa Previsto]],"Vista","Prazo")</f>
        <v>Vista</v>
      </c>
      <c r="Q4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46</v>
      </c>
    </row>
    <row r="42" spans="2:17" x14ac:dyDescent="0.25">
      <c r="B42" s="8">
        <v>43073</v>
      </c>
      <c r="C42" s="8">
        <v>43073</v>
      </c>
      <c r="D42" s="8">
        <v>43073</v>
      </c>
      <c r="E42" t="s">
        <v>23</v>
      </c>
      <c r="F42" t="s">
        <v>32</v>
      </c>
      <c r="G42" t="s">
        <v>98</v>
      </c>
      <c r="H42" s="9">
        <v>4073</v>
      </c>
      <c r="I42">
        <f>IF(TbRegistroEntradas[[#This Row],[Data do Caixa Realizado]]="",0,MONTH(TbRegistroEntradas[[#This Row],[Data do Caixa Realizado]]))</f>
        <v>12</v>
      </c>
      <c r="J42">
        <f>IF(TbRegistroEntradas[[#This Row],[Data do Caixa Realizado]]="",0,YEAR(TbRegistroEntradas[[#This Row],[Data do Caixa Realizado]]))</f>
        <v>2017</v>
      </c>
      <c r="K42">
        <f>IF(TbRegistroEntradas[[#This Row],[Data da Competência]]="",0,MONTH(TbRegistroEntradas[[#This Row],[Data da Competência]]))</f>
        <v>12</v>
      </c>
      <c r="L42">
        <f>IF(TbRegistroEntradas[[#This Row],[Data da Competência]]="",0,YEAR(TbRegistroEntradas[[#This Row],[Data da Competência]]))</f>
        <v>2017</v>
      </c>
      <c r="M42">
        <f>IF(TbRegistroEntradas[[#This Row],[Data do Caixa Previsto]]="",0,MONTH(TbRegistroEntradas[[#This Row],[Data do Caixa Previsto]]))</f>
        <v>12</v>
      </c>
      <c r="N42">
        <f>IF(TbRegistroEntradas[[#This Row],[Data do Caixa Previsto]]="",0,YEAR(TbRegistroEntradas[[#This Row],[Data do Caixa Previsto]]))</f>
        <v>2017</v>
      </c>
      <c r="O42" t="str">
        <f ca="1">IF(AND(TbRegistroEntradas[[#This Row],[Data do Caixa Previsto]]&lt;TODAY(),TbRegistroEntradas[[#This Row],[Data do Caixa Realizado]]=""),"Vencida","Não Vencida")</f>
        <v>Não Vencida</v>
      </c>
      <c r="P42" t="str">
        <f>IF(TbRegistroEntradas[[#This Row],[Data da Competência]]=TbRegistroEntradas[[#This Row],[Data do Caixa Previsto]],"Vista","Prazo")</f>
        <v>Vista</v>
      </c>
      <c r="Q4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3" spans="2:17" x14ac:dyDescent="0.25">
      <c r="B43" s="8">
        <v>43073</v>
      </c>
      <c r="C43" s="8">
        <v>43073</v>
      </c>
      <c r="D43" s="8">
        <v>43073</v>
      </c>
      <c r="E43" t="s">
        <v>23</v>
      </c>
      <c r="F43" t="s">
        <v>31</v>
      </c>
      <c r="G43" t="s">
        <v>99</v>
      </c>
      <c r="H43" s="9">
        <v>3008</v>
      </c>
      <c r="I43">
        <f>IF(TbRegistroEntradas[[#This Row],[Data do Caixa Realizado]]="",0,MONTH(TbRegistroEntradas[[#This Row],[Data do Caixa Realizado]]))</f>
        <v>12</v>
      </c>
      <c r="J43">
        <f>IF(TbRegistroEntradas[[#This Row],[Data do Caixa Realizado]]="",0,YEAR(TbRegistroEntradas[[#This Row],[Data do Caixa Realizado]]))</f>
        <v>2017</v>
      </c>
      <c r="K43">
        <f>IF(TbRegistroEntradas[[#This Row],[Data da Competência]]="",0,MONTH(TbRegistroEntradas[[#This Row],[Data da Competência]]))</f>
        <v>12</v>
      </c>
      <c r="L43">
        <f>IF(TbRegistroEntradas[[#This Row],[Data da Competência]]="",0,YEAR(TbRegistroEntradas[[#This Row],[Data da Competência]]))</f>
        <v>2017</v>
      </c>
      <c r="M43">
        <f>IF(TbRegistroEntradas[[#This Row],[Data do Caixa Previsto]]="",0,MONTH(TbRegistroEntradas[[#This Row],[Data do Caixa Previsto]]))</f>
        <v>12</v>
      </c>
      <c r="N43">
        <f>IF(TbRegistroEntradas[[#This Row],[Data do Caixa Previsto]]="",0,YEAR(TbRegistroEntradas[[#This Row],[Data do Caixa Previsto]]))</f>
        <v>2017</v>
      </c>
      <c r="O43" t="str">
        <f ca="1">IF(AND(TbRegistroEntradas[[#This Row],[Data do Caixa Previsto]]&lt;TODAY(),TbRegistroEntradas[[#This Row],[Data do Caixa Realizado]]=""),"Vencida","Não Vencida")</f>
        <v>Não Vencida</v>
      </c>
      <c r="P43" t="str">
        <f>IF(TbRegistroEntradas[[#This Row],[Data da Competência]]=TbRegistroEntradas[[#This Row],[Data do Caixa Previsto]],"Vista","Prazo")</f>
        <v>Vista</v>
      </c>
      <c r="Q4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4" spans="2:17" x14ac:dyDescent="0.25">
      <c r="B44" s="8">
        <v>43103</v>
      </c>
      <c r="C44" s="8">
        <v>43080</v>
      </c>
      <c r="D44" s="8">
        <v>43080</v>
      </c>
      <c r="E44" t="s">
        <v>23</v>
      </c>
      <c r="F44" t="s">
        <v>31</v>
      </c>
      <c r="G44" t="s">
        <v>100</v>
      </c>
      <c r="H44" s="9">
        <v>1267</v>
      </c>
      <c r="I44">
        <f>IF(TbRegistroEntradas[[#This Row],[Data do Caixa Realizado]]="",0,MONTH(TbRegistroEntradas[[#This Row],[Data do Caixa Realizado]]))</f>
        <v>1</v>
      </c>
      <c r="J44">
        <f>IF(TbRegistroEntradas[[#This Row],[Data do Caixa Realizado]]="",0,YEAR(TbRegistroEntradas[[#This Row],[Data do Caixa Realizado]]))</f>
        <v>2018</v>
      </c>
      <c r="K44">
        <f>IF(TbRegistroEntradas[[#This Row],[Data da Competência]]="",0,MONTH(TbRegistroEntradas[[#This Row],[Data da Competência]]))</f>
        <v>12</v>
      </c>
      <c r="L44">
        <f>IF(TbRegistroEntradas[[#This Row],[Data da Competência]]="",0,YEAR(TbRegistroEntradas[[#This Row],[Data da Competência]]))</f>
        <v>2017</v>
      </c>
      <c r="M44">
        <f>IF(TbRegistroEntradas[[#This Row],[Data do Caixa Previsto]]="",0,MONTH(TbRegistroEntradas[[#This Row],[Data do Caixa Previsto]]))</f>
        <v>12</v>
      </c>
      <c r="N44">
        <f>IF(TbRegistroEntradas[[#This Row],[Data do Caixa Previsto]]="",0,YEAR(TbRegistroEntradas[[#This Row],[Data do Caixa Previsto]]))</f>
        <v>2017</v>
      </c>
      <c r="O44" t="str">
        <f ca="1">IF(AND(TbRegistroEntradas[[#This Row],[Data do Caixa Previsto]]&lt;TODAY(),TbRegistroEntradas[[#This Row],[Data do Caixa Realizado]]=""),"Vencida","Não Vencida")</f>
        <v>Não Vencida</v>
      </c>
      <c r="P44" t="str">
        <f>IF(TbRegistroEntradas[[#This Row],[Data da Competência]]=TbRegistroEntradas[[#This Row],[Data do Caixa Previsto]],"Vista","Prazo")</f>
        <v>Vista</v>
      </c>
      <c r="Q4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23</v>
      </c>
    </row>
    <row r="45" spans="2:17" x14ac:dyDescent="0.25">
      <c r="B45" s="8">
        <v>43103</v>
      </c>
      <c r="C45" s="8">
        <v>43082</v>
      </c>
      <c r="D45" s="8">
        <v>43103</v>
      </c>
      <c r="E45" t="s">
        <v>23</v>
      </c>
      <c r="F45" t="s">
        <v>31</v>
      </c>
      <c r="G45" t="s">
        <v>101</v>
      </c>
      <c r="H45" s="9">
        <v>284</v>
      </c>
      <c r="I45">
        <f>IF(TbRegistroEntradas[[#This Row],[Data do Caixa Realizado]]="",0,MONTH(TbRegistroEntradas[[#This Row],[Data do Caixa Realizado]]))</f>
        <v>1</v>
      </c>
      <c r="J45">
        <f>IF(TbRegistroEntradas[[#This Row],[Data do Caixa Realizado]]="",0,YEAR(TbRegistroEntradas[[#This Row],[Data do Caixa Realizado]]))</f>
        <v>2018</v>
      </c>
      <c r="K45">
        <f>IF(TbRegistroEntradas[[#This Row],[Data da Competência]]="",0,MONTH(TbRegistroEntradas[[#This Row],[Data da Competência]]))</f>
        <v>12</v>
      </c>
      <c r="L45">
        <f>IF(TbRegistroEntradas[[#This Row],[Data da Competência]]="",0,YEAR(TbRegistroEntradas[[#This Row],[Data da Competência]]))</f>
        <v>2017</v>
      </c>
      <c r="M45">
        <f>IF(TbRegistroEntradas[[#This Row],[Data do Caixa Previsto]]="",0,MONTH(TbRegistroEntradas[[#This Row],[Data do Caixa Previsto]]))</f>
        <v>1</v>
      </c>
      <c r="N45">
        <f>IF(TbRegistroEntradas[[#This Row],[Data do Caixa Previsto]]="",0,YEAR(TbRegistroEntradas[[#This Row],[Data do Caixa Previsto]]))</f>
        <v>2018</v>
      </c>
      <c r="O45" t="str">
        <f ca="1">IF(AND(TbRegistroEntradas[[#This Row],[Data do Caixa Previsto]]&lt;TODAY(),TbRegistroEntradas[[#This Row],[Data do Caixa Realizado]]=""),"Vencida","Não Vencida")</f>
        <v>Não Vencida</v>
      </c>
      <c r="P45" t="str">
        <f>IF(TbRegistroEntradas[[#This Row],[Data da Competência]]=TbRegistroEntradas[[#This Row],[Data do Caixa Previsto]],"Vista","Prazo")</f>
        <v>Prazo</v>
      </c>
      <c r="Q4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6" spans="2:17" x14ac:dyDescent="0.25">
      <c r="B46" s="8">
        <v>43086</v>
      </c>
      <c r="C46" s="8">
        <v>43083</v>
      </c>
      <c r="D46" s="8">
        <v>43086</v>
      </c>
      <c r="E46" t="s">
        <v>23</v>
      </c>
      <c r="F46" t="s">
        <v>34</v>
      </c>
      <c r="G46" t="s">
        <v>102</v>
      </c>
      <c r="H46" s="9">
        <v>2046</v>
      </c>
      <c r="I46">
        <f>IF(TbRegistroEntradas[[#This Row],[Data do Caixa Realizado]]="",0,MONTH(TbRegistroEntradas[[#This Row],[Data do Caixa Realizado]]))</f>
        <v>12</v>
      </c>
      <c r="J46">
        <f>IF(TbRegistroEntradas[[#This Row],[Data do Caixa Realizado]]="",0,YEAR(TbRegistroEntradas[[#This Row],[Data do Caixa Realizado]]))</f>
        <v>2017</v>
      </c>
      <c r="K46">
        <f>IF(TbRegistroEntradas[[#This Row],[Data da Competência]]="",0,MONTH(TbRegistroEntradas[[#This Row],[Data da Competência]]))</f>
        <v>12</v>
      </c>
      <c r="L46">
        <f>IF(TbRegistroEntradas[[#This Row],[Data da Competência]]="",0,YEAR(TbRegistroEntradas[[#This Row],[Data da Competência]]))</f>
        <v>2017</v>
      </c>
      <c r="M46">
        <f>IF(TbRegistroEntradas[[#This Row],[Data do Caixa Previsto]]="",0,MONTH(TbRegistroEntradas[[#This Row],[Data do Caixa Previsto]]))</f>
        <v>12</v>
      </c>
      <c r="N46">
        <f>IF(TbRegistroEntradas[[#This Row],[Data do Caixa Previsto]]="",0,YEAR(TbRegistroEntradas[[#This Row],[Data do Caixa Previsto]]))</f>
        <v>2017</v>
      </c>
      <c r="O46" t="str">
        <f ca="1">IF(AND(TbRegistroEntradas[[#This Row],[Data do Caixa Previsto]]&lt;TODAY(),TbRegistroEntradas[[#This Row],[Data do Caixa Realizado]]=""),"Vencida","Não Vencida")</f>
        <v>Não Vencida</v>
      </c>
      <c r="P46" t="str">
        <f>IF(TbRegistroEntradas[[#This Row],[Data da Competência]]=TbRegistroEntradas[[#This Row],[Data do Caixa Previsto]],"Vista","Prazo")</f>
        <v>Prazo</v>
      </c>
      <c r="Q4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7" spans="2:17" x14ac:dyDescent="0.25">
      <c r="B47" s="8">
        <v>43122</v>
      </c>
      <c r="C47" s="8">
        <v>43085</v>
      </c>
      <c r="D47" s="8">
        <v>43122</v>
      </c>
      <c r="E47" t="s">
        <v>23</v>
      </c>
      <c r="F47" t="s">
        <v>32</v>
      </c>
      <c r="G47" t="s">
        <v>103</v>
      </c>
      <c r="H47" s="9">
        <v>3880</v>
      </c>
      <c r="I47">
        <f>IF(TbRegistroEntradas[[#This Row],[Data do Caixa Realizado]]="",0,MONTH(TbRegistroEntradas[[#This Row],[Data do Caixa Realizado]]))</f>
        <v>1</v>
      </c>
      <c r="J47">
        <f>IF(TbRegistroEntradas[[#This Row],[Data do Caixa Realizado]]="",0,YEAR(TbRegistroEntradas[[#This Row],[Data do Caixa Realizado]]))</f>
        <v>2018</v>
      </c>
      <c r="K47">
        <f>IF(TbRegistroEntradas[[#This Row],[Data da Competência]]="",0,MONTH(TbRegistroEntradas[[#This Row],[Data da Competência]]))</f>
        <v>12</v>
      </c>
      <c r="L47">
        <f>IF(TbRegistroEntradas[[#This Row],[Data da Competência]]="",0,YEAR(TbRegistroEntradas[[#This Row],[Data da Competência]]))</f>
        <v>2017</v>
      </c>
      <c r="M47">
        <f>IF(TbRegistroEntradas[[#This Row],[Data do Caixa Previsto]]="",0,MONTH(TbRegistroEntradas[[#This Row],[Data do Caixa Previsto]]))</f>
        <v>1</v>
      </c>
      <c r="N47">
        <f>IF(TbRegistroEntradas[[#This Row],[Data do Caixa Previsto]]="",0,YEAR(TbRegistroEntradas[[#This Row],[Data do Caixa Previsto]]))</f>
        <v>2018</v>
      </c>
      <c r="O47" t="str">
        <f ca="1">IF(AND(TbRegistroEntradas[[#This Row],[Data do Caixa Previsto]]&lt;TODAY(),TbRegistroEntradas[[#This Row],[Data do Caixa Realizado]]=""),"Vencida","Não Vencida")</f>
        <v>Não Vencida</v>
      </c>
      <c r="P47" t="str">
        <f>IF(TbRegistroEntradas[[#This Row],[Data da Competência]]=TbRegistroEntradas[[#This Row],[Data do Caixa Previsto]],"Vista","Prazo")</f>
        <v>Prazo</v>
      </c>
      <c r="Q4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8" spans="2:17" x14ac:dyDescent="0.25">
      <c r="B48" s="8">
        <v>43123</v>
      </c>
      <c r="C48" s="8">
        <v>43086</v>
      </c>
      <c r="D48" s="8">
        <v>43123</v>
      </c>
      <c r="E48" t="s">
        <v>23</v>
      </c>
      <c r="F48" t="s">
        <v>32</v>
      </c>
      <c r="G48" t="s">
        <v>104</v>
      </c>
      <c r="H48" s="9">
        <v>3149</v>
      </c>
      <c r="I48">
        <f>IF(TbRegistroEntradas[[#This Row],[Data do Caixa Realizado]]="",0,MONTH(TbRegistroEntradas[[#This Row],[Data do Caixa Realizado]]))</f>
        <v>1</v>
      </c>
      <c r="J48">
        <f>IF(TbRegistroEntradas[[#This Row],[Data do Caixa Realizado]]="",0,YEAR(TbRegistroEntradas[[#This Row],[Data do Caixa Realizado]]))</f>
        <v>2018</v>
      </c>
      <c r="K48">
        <f>IF(TbRegistroEntradas[[#This Row],[Data da Competência]]="",0,MONTH(TbRegistroEntradas[[#This Row],[Data da Competência]]))</f>
        <v>12</v>
      </c>
      <c r="L48">
        <f>IF(TbRegistroEntradas[[#This Row],[Data da Competência]]="",0,YEAR(TbRegistroEntradas[[#This Row],[Data da Competência]]))</f>
        <v>2017</v>
      </c>
      <c r="M48">
        <f>IF(TbRegistroEntradas[[#This Row],[Data do Caixa Previsto]]="",0,MONTH(TbRegistroEntradas[[#This Row],[Data do Caixa Previsto]]))</f>
        <v>1</v>
      </c>
      <c r="N48">
        <f>IF(TbRegistroEntradas[[#This Row],[Data do Caixa Previsto]]="",0,YEAR(TbRegistroEntradas[[#This Row],[Data do Caixa Previsto]]))</f>
        <v>2018</v>
      </c>
      <c r="O48" t="str">
        <f ca="1">IF(AND(TbRegistroEntradas[[#This Row],[Data do Caixa Previsto]]&lt;TODAY(),TbRegistroEntradas[[#This Row],[Data do Caixa Realizado]]=""),"Vencida","Não Vencida")</f>
        <v>Não Vencida</v>
      </c>
      <c r="P48" t="str">
        <f>IF(TbRegistroEntradas[[#This Row],[Data da Competência]]=TbRegistroEntradas[[#This Row],[Data do Caixa Previsto]],"Vista","Prazo")</f>
        <v>Prazo</v>
      </c>
      <c r="Q4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49" spans="2:17" x14ac:dyDescent="0.25">
      <c r="B49" s="8">
        <v>43125</v>
      </c>
      <c r="C49" s="8">
        <v>43088</v>
      </c>
      <c r="D49" s="8">
        <v>43125</v>
      </c>
      <c r="E49" t="s">
        <v>23</v>
      </c>
      <c r="F49" t="s">
        <v>34</v>
      </c>
      <c r="G49" t="s">
        <v>105</v>
      </c>
      <c r="H49" s="9">
        <v>668</v>
      </c>
      <c r="I49">
        <f>IF(TbRegistroEntradas[[#This Row],[Data do Caixa Realizado]]="",0,MONTH(TbRegistroEntradas[[#This Row],[Data do Caixa Realizado]]))</f>
        <v>1</v>
      </c>
      <c r="J49">
        <f>IF(TbRegistroEntradas[[#This Row],[Data do Caixa Realizado]]="",0,YEAR(TbRegistroEntradas[[#This Row],[Data do Caixa Realizado]]))</f>
        <v>2018</v>
      </c>
      <c r="K49">
        <f>IF(TbRegistroEntradas[[#This Row],[Data da Competência]]="",0,MONTH(TbRegistroEntradas[[#This Row],[Data da Competência]]))</f>
        <v>12</v>
      </c>
      <c r="L49">
        <f>IF(TbRegistroEntradas[[#This Row],[Data da Competência]]="",0,YEAR(TbRegistroEntradas[[#This Row],[Data da Competência]]))</f>
        <v>2017</v>
      </c>
      <c r="M49">
        <f>IF(TbRegistroEntradas[[#This Row],[Data do Caixa Previsto]]="",0,MONTH(TbRegistroEntradas[[#This Row],[Data do Caixa Previsto]]))</f>
        <v>1</v>
      </c>
      <c r="N49">
        <f>IF(TbRegistroEntradas[[#This Row],[Data do Caixa Previsto]]="",0,YEAR(TbRegistroEntradas[[#This Row],[Data do Caixa Previsto]]))</f>
        <v>2018</v>
      </c>
      <c r="O49" t="str">
        <f ca="1">IF(AND(TbRegistroEntradas[[#This Row],[Data do Caixa Previsto]]&lt;TODAY(),TbRegistroEntradas[[#This Row],[Data do Caixa Realizado]]=""),"Vencida","Não Vencida")</f>
        <v>Não Vencida</v>
      </c>
      <c r="P49" t="str">
        <f>IF(TbRegistroEntradas[[#This Row],[Data da Competência]]=TbRegistroEntradas[[#This Row],[Data do Caixa Previsto]],"Vista","Prazo")</f>
        <v>Prazo</v>
      </c>
      <c r="Q4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0" spans="2:17" x14ac:dyDescent="0.25">
      <c r="B50" s="8">
        <v>43089</v>
      </c>
      <c r="C50" s="8">
        <v>43089</v>
      </c>
      <c r="D50" s="8">
        <v>43089</v>
      </c>
      <c r="E50" t="s">
        <v>23</v>
      </c>
      <c r="F50" t="s">
        <v>35</v>
      </c>
      <c r="G50" t="s">
        <v>106</v>
      </c>
      <c r="H50" s="9">
        <v>3721</v>
      </c>
      <c r="I50">
        <f>IF(TbRegistroEntradas[[#This Row],[Data do Caixa Realizado]]="",0,MONTH(TbRegistroEntradas[[#This Row],[Data do Caixa Realizado]]))</f>
        <v>12</v>
      </c>
      <c r="J50">
        <f>IF(TbRegistroEntradas[[#This Row],[Data do Caixa Realizado]]="",0,YEAR(TbRegistroEntradas[[#This Row],[Data do Caixa Realizado]]))</f>
        <v>2017</v>
      </c>
      <c r="K50">
        <f>IF(TbRegistroEntradas[[#This Row],[Data da Competência]]="",0,MONTH(TbRegistroEntradas[[#This Row],[Data da Competência]]))</f>
        <v>12</v>
      </c>
      <c r="L50">
        <f>IF(TbRegistroEntradas[[#This Row],[Data da Competência]]="",0,YEAR(TbRegistroEntradas[[#This Row],[Data da Competência]]))</f>
        <v>2017</v>
      </c>
      <c r="M50">
        <f>IF(TbRegistroEntradas[[#This Row],[Data do Caixa Previsto]]="",0,MONTH(TbRegistroEntradas[[#This Row],[Data do Caixa Previsto]]))</f>
        <v>12</v>
      </c>
      <c r="N50">
        <f>IF(TbRegistroEntradas[[#This Row],[Data do Caixa Previsto]]="",0,YEAR(TbRegistroEntradas[[#This Row],[Data do Caixa Previsto]]))</f>
        <v>2017</v>
      </c>
      <c r="O50" t="str">
        <f ca="1">IF(AND(TbRegistroEntradas[[#This Row],[Data do Caixa Previsto]]&lt;TODAY(),TbRegistroEntradas[[#This Row],[Data do Caixa Realizado]]=""),"Vencida","Não Vencida")</f>
        <v>Não Vencida</v>
      </c>
      <c r="P50" t="str">
        <f>IF(TbRegistroEntradas[[#This Row],[Data da Competência]]=TbRegistroEntradas[[#This Row],[Data do Caixa Previsto]],"Vista","Prazo")</f>
        <v>Vista</v>
      </c>
      <c r="Q5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1" spans="2:17" x14ac:dyDescent="0.25">
      <c r="B51" s="8">
        <v>43133</v>
      </c>
      <c r="C51" s="8">
        <v>43091</v>
      </c>
      <c r="D51" s="8">
        <v>43133</v>
      </c>
      <c r="E51" t="s">
        <v>23</v>
      </c>
      <c r="F51" t="s">
        <v>32</v>
      </c>
      <c r="G51" t="s">
        <v>107</v>
      </c>
      <c r="H51" s="9">
        <v>3114</v>
      </c>
      <c r="I51">
        <f>IF(TbRegistroEntradas[[#This Row],[Data do Caixa Realizado]]="",0,MONTH(TbRegistroEntradas[[#This Row],[Data do Caixa Realizado]]))</f>
        <v>2</v>
      </c>
      <c r="J51">
        <f>IF(TbRegistroEntradas[[#This Row],[Data do Caixa Realizado]]="",0,YEAR(TbRegistroEntradas[[#This Row],[Data do Caixa Realizado]]))</f>
        <v>2018</v>
      </c>
      <c r="K51">
        <f>IF(TbRegistroEntradas[[#This Row],[Data da Competência]]="",0,MONTH(TbRegistroEntradas[[#This Row],[Data da Competência]]))</f>
        <v>12</v>
      </c>
      <c r="L51">
        <f>IF(TbRegistroEntradas[[#This Row],[Data da Competência]]="",0,YEAR(TbRegistroEntradas[[#This Row],[Data da Competência]]))</f>
        <v>2017</v>
      </c>
      <c r="M51">
        <f>IF(TbRegistroEntradas[[#This Row],[Data do Caixa Previsto]]="",0,MONTH(TbRegistroEntradas[[#This Row],[Data do Caixa Previsto]]))</f>
        <v>2</v>
      </c>
      <c r="N51">
        <f>IF(TbRegistroEntradas[[#This Row],[Data do Caixa Previsto]]="",0,YEAR(TbRegistroEntradas[[#This Row],[Data do Caixa Previsto]]))</f>
        <v>2018</v>
      </c>
      <c r="O51" t="str">
        <f ca="1">IF(AND(TbRegistroEntradas[[#This Row],[Data do Caixa Previsto]]&lt;TODAY(),TbRegistroEntradas[[#This Row],[Data do Caixa Realizado]]=""),"Vencida","Não Vencida")</f>
        <v>Não Vencida</v>
      </c>
      <c r="P51" t="str">
        <f>IF(TbRegistroEntradas[[#This Row],[Data da Competência]]=TbRegistroEntradas[[#This Row],[Data do Caixa Previsto]],"Vista","Prazo")</f>
        <v>Prazo</v>
      </c>
      <c r="Q5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2" spans="2:17" x14ac:dyDescent="0.25">
      <c r="B52" s="8">
        <v>43182</v>
      </c>
      <c r="C52" s="8">
        <v>43095</v>
      </c>
      <c r="D52" s="8">
        <v>43095</v>
      </c>
      <c r="E52" t="s">
        <v>23</v>
      </c>
      <c r="F52" t="s">
        <v>34</v>
      </c>
      <c r="G52" t="s">
        <v>108</v>
      </c>
      <c r="H52" s="9">
        <v>1436</v>
      </c>
      <c r="I52">
        <f>IF(TbRegistroEntradas[[#This Row],[Data do Caixa Realizado]]="",0,MONTH(TbRegistroEntradas[[#This Row],[Data do Caixa Realizado]]))</f>
        <v>3</v>
      </c>
      <c r="J52">
        <f>IF(TbRegistroEntradas[[#This Row],[Data do Caixa Realizado]]="",0,YEAR(TbRegistroEntradas[[#This Row],[Data do Caixa Realizado]]))</f>
        <v>2018</v>
      </c>
      <c r="K52">
        <f>IF(TbRegistroEntradas[[#This Row],[Data da Competência]]="",0,MONTH(TbRegistroEntradas[[#This Row],[Data da Competência]]))</f>
        <v>12</v>
      </c>
      <c r="L52">
        <f>IF(TbRegistroEntradas[[#This Row],[Data da Competência]]="",0,YEAR(TbRegistroEntradas[[#This Row],[Data da Competência]]))</f>
        <v>2017</v>
      </c>
      <c r="M52">
        <f>IF(TbRegistroEntradas[[#This Row],[Data do Caixa Previsto]]="",0,MONTH(TbRegistroEntradas[[#This Row],[Data do Caixa Previsto]]))</f>
        <v>12</v>
      </c>
      <c r="N52">
        <f>IF(TbRegistroEntradas[[#This Row],[Data do Caixa Previsto]]="",0,YEAR(TbRegistroEntradas[[#This Row],[Data do Caixa Previsto]]))</f>
        <v>2017</v>
      </c>
      <c r="O52" t="str">
        <f ca="1">IF(AND(TbRegistroEntradas[[#This Row],[Data do Caixa Previsto]]&lt;TODAY(),TbRegistroEntradas[[#This Row],[Data do Caixa Realizado]]=""),"Vencida","Não Vencida")</f>
        <v>Não Vencida</v>
      </c>
      <c r="P52" t="str">
        <f>IF(TbRegistroEntradas[[#This Row],[Data da Competência]]=TbRegistroEntradas[[#This Row],[Data do Caixa Previsto]],"Vista","Prazo")</f>
        <v>Vista</v>
      </c>
      <c r="Q5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87</v>
      </c>
    </row>
    <row r="53" spans="2:17" x14ac:dyDescent="0.25">
      <c r="B53" s="8">
        <v>43101</v>
      </c>
      <c r="C53" s="8">
        <v>43099</v>
      </c>
      <c r="D53" s="8">
        <v>43101</v>
      </c>
      <c r="E53" t="s">
        <v>23</v>
      </c>
      <c r="F53" t="s">
        <v>34</v>
      </c>
      <c r="G53" t="s">
        <v>109</v>
      </c>
      <c r="H53" s="9">
        <v>3192</v>
      </c>
      <c r="I53">
        <f>IF(TbRegistroEntradas[[#This Row],[Data do Caixa Realizado]]="",0,MONTH(TbRegistroEntradas[[#This Row],[Data do Caixa Realizado]]))</f>
        <v>1</v>
      </c>
      <c r="J53">
        <f>IF(TbRegistroEntradas[[#This Row],[Data do Caixa Realizado]]="",0,YEAR(TbRegistroEntradas[[#This Row],[Data do Caixa Realizado]]))</f>
        <v>2018</v>
      </c>
      <c r="K53">
        <f>IF(TbRegistroEntradas[[#This Row],[Data da Competência]]="",0,MONTH(TbRegistroEntradas[[#This Row],[Data da Competência]]))</f>
        <v>12</v>
      </c>
      <c r="L53">
        <f>IF(TbRegistroEntradas[[#This Row],[Data da Competência]]="",0,YEAR(TbRegistroEntradas[[#This Row],[Data da Competência]]))</f>
        <v>2017</v>
      </c>
      <c r="M53">
        <f>IF(TbRegistroEntradas[[#This Row],[Data do Caixa Previsto]]="",0,MONTH(TbRegistroEntradas[[#This Row],[Data do Caixa Previsto]]))</f>
        <v>1</v>
      </c>
      <c r="N53">
        <f>IF(TbRegistroEntradas[[#This Row],[Data do Caixa Previsto]]="",0,YEAR(TbRegistroEntradas[[#This Row],[Data do Caixa Previsto]]))</f>
        <v>2018</v>
      </c>
      <c r="O53" t="str">
        <f ca="1">IF(AND(TbRegistroEntradas[[#This Row],[Data do Caixa Previsto]]&lt;TODAY(),TbRegistroEntradas[[#This Row],[Data do Caixa Realizado]]=""),"Vencida","Não Vencida")</f>
        <v>Não Vencida</v>
      </c>
      <c r="P53" t="str">
        <f>IF(TbRegistroEntradas[[#This Row],[Data da Competência]]=TbRegistroEntradas[[#This Row],[Data do Caixa Previsto]],"Vista","Prazo")</f>
        <v>Prazo</v>
      </c>
      <c r="Q5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4" spans="2:17" x14ac:dyDescent="0.25">
      <c r="B54" s="8">
        <v>43144</v>
      </c>
      <c r="C54" s="8">
        <v>43100</v>
      </c>
      <c r="D54" s="8">
        <v>43144</v>
      </c>
      <c r="E54" t="s">
        <v>23</v>
      </c>
      <c r="F54" t="s">
        <v>35</v>
      </c>
      <c r="G54" t="s">
        <v>110</v>
      </c>
      <c r="H54" s="9">
        <v>2687</v>
      </c>
      <c r="I54">
        <f>IF(TbRegistroEntradas[[#This Row],[Data do Caixa Realizado]]="",0,MONTH(TbRegistroEntradas[[#This Row],[Data do Caixa Realizado]]))</f>
        <v>2</v>
      </c>
      <c r="J54">
        <f>IF(TbRegistroEntradas[[#This Row],[Data do Caixa Realizado]]="",0,YEAR(TbRegistroEntradas[[#This Row],[Data do Caixa Realizado]]))</f>
        <v>2018</v>
      </c>
      <c r="K54">
        <f>IF(TbRegistroEntradas[[#This Row],[Data da Competência]]="",0,MONTH(TbRegistroEntradas[[#This Row],[Data da Competência]]))</f>
        <v>12</v>
      </c>
      <c r="L54">
        <f>IF(TbRegistroEntradas[[#This Row],[Data da Competência]]="",0,YEAR(TbRegistroEntradas[[#This Row],[Data da Competência]]))</f>
        <v>2017</v>
      </c>
      <c r="M54">
        <f>IF(TbRegistroEntradas[[#This Row],[Data do Caixa Previsto]]="",0,MONTH(TbRegistroEntradas[[#This Row],[Data do Caixa Previsto]]))</f>
        <v>2</v>
      </c>
      <c r="N54">
        <f>IF(TbRegistroEntradas[[#This Row],[Data do Caixa Previsto]]="",0,YEAR(TbRegistroEntradas[[#This Row],[Data do Caixa Previsto]]))</f>
        <v>2018</v>
      </c>
      <c r="O54" t="str">
        <f ca="1">IF(AND(TbRegistroEntradas[[#This Row],[Data do Caixa Previsto]]&lt;TODAY(),TbRegistroEntradas[[#This Row],[Data do Caixa Realizado]]=""),"Vencida","Não Vencida")</f>
        <v>Não Vencida</v>
      </c>
      <c r="P54" t="str">
        <f>IF(TbRegistroEntradas[[#This Row],[Data da Competência]]=TbRegistroEntradas[[#This Row],[Data do Caixa Previsto]],"Vista","Prazo")</f>
        <v>Prazo</v>
      </c>
      <c r="Q5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5" spans="2:17" x14ac:dyDescent="0.25">
      <c r="B55" s="8" t="s">
        <v>68</v>
      </c>
      <c r="C55" s="8">
        <v>43103</v>
      </c>
      <c r="D55" s="8">
        <v>43159</v>
      </c>
      <c r="E55" t="s">
        <v>23</v>
      </c>
      <c r="F55" t="s">
        <v>34</v>
      </c>
      <c r="G55" t="s">
        <v>111</v>
      </c>
      <c r="H55" s="9">
        <v>1561</v>
      </c>
      <c r="I55">
        <f>IF(TbRegistroEntradas[[#This Row],[Data do Caixa Realizado]]="",0,MONTH(TbRegistroEntradas[[#This Row],[Data do Caixa Realizado]]))</f>
        <v>0</v>
      </c>
      <c r="J55">
        <f>IF(TbRegistroEntradas[[#This Row],[Data do Caixa Realizado]]="",0,YEAR(TbRegistroEntradas[[#This Row],[Data do Caixa Realizado]]))</f>
        <v>0</v>
      </c>
      <c r="K55">
        <f>IF(TbRegistroEntradas[[#This Row],[Data da Competência]]="",0,MONTH(TbRegistroEntradas[[#This Row],[Data da Competência]]))</f>
        <v>1</v>
      </c>
      <c r="L55">
        <f>IF(TbRegistroEntradas[[#This Row],[Data da Competência]]="",0,YEAR(TbRegistroEntradas[[#This Row],[Data da Competência]]))</f>
        <v>2018</v>
      </c>
      <c r="M55">
        <f>IF(TbRegistroEntradas[[#This Row],[Data do Caixa Previsto]]="",0,MONTH(TbRegistroEntradas[[#This Row],[Data do Caixa Previsto]]))</f>
        <v>2</v>
      </c>
      <c r="N55">
        <f>IF(TbRegistroEntradas[[#This Row],[Data do Caixa Previsto]]="",0,YEAR(TbRegistroEntradas[[#This Row],[Data do Caixa Previsto]]))</f>
        <v>2018</v>
      </c>
      <c r="O55" t="str">
        <f ca="1">IF(AND(TbRegistroEntradas[[#This Row],[Data do Caixa Previsto]]&lt;TODAY(),TbRegistroEntradas[[#This Row],[Data do Caixa Realizado]]=""),"Vencida","Não Vencida")</f>
        <v>Vencida</v>
      </c>
      <c r="P55" t="str">
        <f>IF(TbRegistroEntradas[[#This Row],[Data da Competência]]=TbRegistroEntradas[[#This Row],[Data do Caixa Previsto]],"Vista","Prazo")</f>
        <v>Prazo</v>
      </c>
      <c r="Q5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1756</v>
      </c>
    </row>
    <row r="56" spans="2:17" x14ac:dyDescent="0.25">
      <c r="B56" s="8">
        <v>43155</v>
      </c>
      <c r="C56" s="8">
        <v>43109</v>
      </c>
      <c r="D56" s="8">
        <v>43113</v>
      </c>
      <c r="E56" t="s">
        <v>23</v>
      </c>
      <c r="F56" t="s">
        <v>34</v>
      </c>
      <c r="G56" t="s">
        <v>112</v>
      </c>
      <c r="H56" s="9">
        <v>1573</v>
      </c>
      <c r="I56">
        <f>IF(TbRegistroEntradas[[#This Row],[Data do Caixa Realizado]]="",0,MONTH(TbRegistroEntradas[[#This Row],[Data do Caixa Realizado]]))</f>
        <v>2</v>
      </c>
      <c r="J56">
        <f>IF(TbRegistroEntradas[[#This Row],[Data do Caixa Realizado]]="",0,YEAR(TbRegistroEntradas[[#This Row],[Data do Caixa Realizado]]))</f>
        <v>2018</v>
      </c>
      <c r="K56">
        <f>IF(TbRegistroEntradas[[#This Row],[Data da Competência]]="",0,MONTH(TbRegistroEntradas[[#This Row],[Data da Competência]]))</f>
        <v>1</v>
      </c>
      <c r="L56">
        <f>IF(TbRegistroEntradas[[#This Row],[Data da Competência]]="",0,YEAR(TbRegistroEntradas[[#This Row],[Data da Competência]]))</f>
        <v>2018</v>
      </c>
      <c r="M56">
        <f>IF(TbRegistroEntradas[[#This Row],[Data do Caixa Previsto]]="",0,MONTH(TbRegistroEntradas[[#This Row],[Data do Caixa Previsto]]))</f>
        <v>1</v>
      </c>
      <c r="N56">
        <f>IF(TbRegistroEntradas[[#This Row],[Data do Caixa Previsto]]="",0,YEAR(TbRegistroEntradas[[#This Row],[Data do Caixa Previsto]]))</f>
        <v>2018</v>
      </c>
      <c r="O56" t="str">
        <f ca="1">IF(AND(TbRegistroEntradas[[#This Row],[Data do Caixa Previsto]]&lt;TODAY(),TbRegistroEntradas[[#This Row],[Data do Caixa Realizado]]=""),"Vencida","Não Vencida")</f>
        <v>Não Vencida</v>
      </c>
      <c r="P56" t="str">
        <f>IF(TbRegistroEntradas[[#This Row],[Data da Competência]]=TbRegistroEntradas[[#This Row],[Data do Caixa Previsto]],"Vista","Prazo")</f>
        <v>Prazo</v>
      </c>
      <c r="Q5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42</v>
      </c>
    </row>
    <row r="57" spans="2:17" x14ac:dyDescent="0.25">
      <c r="B57" s="8">
        <v>43117</v>
      </c>
      <c r="C57" s="8">
        <v>43117</v>
      </c>
      <c r="D57" s="8">
        <v>43117</v>
      </c>
      <c r="E57" t="s">
        <v>23</v>
      </c>
      <c r="F57" t="s">
        <v>34</v>
      </c>
      <c r="G57" t="s">
        <v>113</v>
      </c>
      <c r="H57" s="9">
        <v>1364</v>
      </c>
      <c r="I57">
        <f>IF(TbRegistroEntradas[[#This Row],[Data do Caixa Realizado]]="",0,MONTH(TbRegistroEntradas[[#This Row],[Data do Caixa Realizado]]))</f>
        <v>1</v>
      </c>
      <c r="J57">
        <f>IF(TbRegistroEntradas[[#This Row],[Data do Caixa Realizado]]="",0,YEAR(TbRegistroEntradas[[#This Row],[Data do Caixa Realizado]]))</f>
        <v>2018</v>
      </c>
      <c r="K57">
        <f>IF(TbRegistroEntradas[[#This Row],[Data da Competência]]="",0,MONTH(TbRegistroEntradas[[#This Row],[Data da Competência]]))</f>
        <v>1</v>
      </c>
      <c r="L57">
        <f>IF(TbRegistroEntradas[[#This Row],[Data da Competência]]="",0,YEAR(TbRegistroEntradas[[#This Row],[Data da Competência]]))</f>
        <v>2018</v>
      </c>
      <c r="M57">
        <f>IF(TbRegistroEntradas[[#This Row],[Data do Caixa Previsto]]="",0,MONTH(TbRegistroEntradas[[#This Row],[Data do Caixa Previsto]]))</f>
        <v>1</v>
      </c>
      <c r="N57">
        <f>IF(TbRegistroEntradas[[#This Row],[Data do Caixa Previsto]]="",0,YEAR(TbRegistroEntradas[[#This Row],[Data do Caixa Previsto]]))</f>
        <v>2018</v>
      </c>
      <c r="O57" t="str">
        <f ca="1">IF(AND(TbRegistroEntradas[[#This Row],[Data do Caixa Previsto]]&lt;TODAY(),TbRegistroEntradas[[#This Row],[Data do Caixa Realizado]]=""),"Vencida","Não Vencida")</f>
        <v>Não Vencida</v>
      </c>
      <c r="P57" t="str">
        <f>IF(TbRegistroEntradas[[#This Row],[Data da Competência]]=TbRegistroEntradas[[#This Row],[Data do Caixa Previsto]],"Vista","Prazo")</f>
        <v>Vista</v>
      </c>
      <c r="Q5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8" spans="2:17" x14ac:dyDescent="0.25">
      <c r="B58" s="8">
        <v>43166</v>
      </c>
      <c r="C58" s="8">
        <v>43121</v>
      </c>
      <c r="D58" s="8">
        <v>43166</v>
      </c>
      <c r="E58" t="s">
        <v>23</v>
      </c>
      <c r="F58" t="s">
        <v>35</v>
      </c>
      <c r="G58" t="s">
        <v>114</v>
      </c>
      <c r="H58" s="9">
        <v>783</v>
      </c>
      <c r="I58">
        <f>IF(TbRegistroEntradas[[#This Row],[Data do Caixa Realizado]]="",0,MONTH(TbRegistroEntradas[[#This Row],[Data do Caixa Realizado]]))</f>
        <v>3</v>
      </c>
      <c r="J58">
        <f>IF(TbRegistroEntradas[[#This Row],[Data do Caixa Realizado]]="",0,YEAR(TbRegistroEntradas[[#This Row],[Data do Caixa Realizado]]))</f>
        <v>2018</v>
      </c>
      <c r="K58">
        <f>IF(TbRegistroEntradas[[#This Row],[Data da Competência]]="",0,MONTH(TbRegistroEntradas[[#This Row],[Data da Competência]]))</f>
        <v>1</v>
      </c>
      <c r="L58">
        <f>IF(TbRegistroEntradas[[#This Row],[Data da Competência]]="",0,YEAR(TbRegistroEntradas[[#This Row],[Data da Competência]]))</f>
        <v>2018</v>
      </c>
      <c r="M58">
        <f>IF(TbRegistroEntradas[[#This Row],[Data do Caixa Previsto]]="",0,MONTH(TbRegistroEntradas[[#This Row],[Data do Caixa Previsto]]))</f>
        <v>3</v>
      </c>
      <c r="N58">
        <f>IF(TbRegistroEntradas[[#This Row],[Data do Caixa Previsto]]="",0,YEAR(TbRegistroEntradas[[#This Row],[Data do Caixa Previsto]]))</f>
        <v>2018</v>
      </c>
      <c r="O58" t="str">
        <f ca="1">IF(AND(TbRegistroEntradas[[#This Row],[Data do Caixa Previsto]]&lt;TODAY(),TbRegistroEntradas[[#This Row],[Data do Caixa Realizado]]=""),"Vencida","Não Vencida")</f>
        <v>Não Vencida</v>
      </c>
      <c r="P58" t="str">
        <f>IF(TbRegistroEntradas[[#This Row],[Data da Competência]]=TbRegistroEntradas[[#This Row],[Data do Caixa Previsto]],"Vista","Prazo")</f>
        <v>Prazo</v>
      </c>
      <c r="Q5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59" spans="2:17" x14ac:dyDescent="0.25">
      <c r="B59" s="8">
        <v>43145</v>
      </c>
      <c r="C59" s="8">
        <v>43122</v>
      </c>
      <c r="D59" s="8">
        <v>43145</v>
      </c>
      <c r="E59" t="s">
        <v>23</v>
      </c>
      <c r="F59" t="s">
        <v>35</v>
      </c>
      <c r="G59" t="s">
        <v>115</v>
      </c>
      <c r="H59" s="9">
        <v>3928</v>
      </c>
      <c r="I59">
        <f>IF(TbRegistroEntradas[[#This Row],[Data do Caixa Realizado]]="",0,MONTH(TbRegistroEntradas[[#This Row],[Data do Caixa Realizado]]))</f>
        <v>2</v>
      </c>
      <c r="J59">
        <f>IF(TbRegistroEntradas[[#This Row],[Data do Caixa Realizado]]="",0,YEAR(TbRegistroEntradas[[#This Row],[Data do Caixa Realizado]]))</f>
        <v>2018</v>
      </c>
      <c r="K59">
        <f>IF(TbRegistroEntradas[[#This Row],[Data da Competência]]="",0,MONTH(TbRegistroEntradas[[#This Row],[Data da Competência]]))</f>
        <v>1</v>
      </c>
      <c r="L59">
        <f>IF(TbRegistroEntradas[[#This Row],[Data da Competência]]="",0,YEAR(TbRegistroEntradas[[#This Row],[Data da Competência]]))</f>
        <v>2018</v>
      </c>
      <c r="M59">
        <f>IF(TbRegistroEntradas[[#This Row],[Data do Caixa Previsto]]="",0,MONTH(TbRegistroEntradas[[#This Row],[Data do Caixa Previsto]]))</f>
        <v>2</v>
      </c>
      <c r="N59">
        <f>IF(TbRegistroEntradas[[#This Row],[Data do Caixa Previsto]]="",0,YEAR(TbRegistroEntradas[[#This Row],[Data do Caixa Previsto]]))</f>
        <v>2018</v>
      </c>
      <c r="O59" t="str">
        <f ca="1">IF(AND(TbRegistroEntradas[[#This Row],[Data do Caixa Previsto]]&lt;TODAY(),TbRegistroEntradas[[#This Row],[Data do Caixa Realizado]]=""),"Vencida","Não Vencida")</f>
        <v>Não Vencida</v>
      </c>
      <c r="P59" t="str">
        <f>IF(TbRegistroEntradas[[#This Row],[Data da Competência]]=TbRegistroEntradas[[#This Row],[Data do Caixa Previsto]],"Vista","Prazo")</f>
        <v>Prazo</v>
      </c>
      <c r="Q5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0" spans="2:17" x14ac:dyDescent="0.25">
      <c r="B60" s="8">
        <v>43142</v>
      </c>
      <c r="C60" s="8">
        <v>43124</v>
      </c>
      <c r="D60" s="8">
        <v>43142</v>
      </c>
      <c r="E60" t="s">
        <v>23</v>
      </c>
      <c r="F60" t="s">
        <v>32</v>
      </c>
      <c r="G60" t="s">
        <v>116</v>
      </c>
      <c r="H60" s="9">
        <v>3843</v>
      </c>
      <c r="I60">
        <f>IF(TbRegistroEntradas[[#This Row],[Data do Caixa Realizado]]="",0,MONTH(TbRegistroEntradas[[#This Row],[Data do Caixa Realizado]]))</f>
        <v>2</v>
      </c>
      <c r="J60">
        <f>IF(TbRegistroEntradas[[#This Row],[Data do Caixa Realizado]]="",0,YEAR(TbRegistroEntradas[[#This Row],[Data do Caixa Realizado]]))</f>
        <v>2018</v>
      </c>
      <c r="K60">
        <f>IF(TbRegistroEntradas[[#This Row],[Data da Competência]]="",0,MONTH(TbRegistroEntradas[[#This Row],[Data da Competência]]))</f>
        <v>1</v>
      </c>
      <c r="L60">
        <f>IF(TbRegistroEntradas[[#This Row],[Data da Competência]]="",0,YEAR(TbRegistroEntradas[[#This Row],[Data da Competência]]))</f>
        <v>2018</v>
      </c>
      <c r="M60">
        <f>IF(TbRegistroEntradas[[#This Row],[Data do Caixa Previsto]]="",0,MONTH(TbRegistroEntradas[[#This Row],[Data do Caixa Previsto]]))</f>
        <v>2</v>
      </c>
      <c r="N60">
        <f>IF(TbRegistroEntradas[[#This Row],[Data do Caixa Previsto]]="",0,YEAR(TbRegistroEntradas[[#This Row],[Data do Caixa Previsto]]))</f>
        <v>2018</v>
      </c>
      <c r="O60" t="str">
        <f ca="1">IF(AND(TbRegistroEntradas[[#This Row],[Data do Caixa Previsto]]&lt;TODAY(),TbRegistroEntradas[[#This Row],[Data do Caixa Realizado]]=""),"Vencida","Não Vencida")</f>
        <v>Não Vencida</v>
      </c>
      <c r="P60" t="str">
        <f>IF(TbRegistroEntradas[[#This Row],[Data da Competência]]=TbRegistroEntradas[[#This Row],[Data do Caixa Previsto]],"Vista","Prazo")</f>
        <v>Prazo</v>
      </c>
      <c r="Q6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1" spans="2:17" x14ac:dyDescent="0.25">
      <c r="B61" s="8">
        <v>43206</v>
      </c>
      <c r="C61" s="8">
        <v>43125</v>
      </c>
      <c r="D61" s="8">
        <v>43129</v>
      </c>
      <c r="E61" t="s">
        <v>23</v>
      </c>
      <c r="F61" t="s">
        <v>31</v>
      </c>
      <c r="G61" t="s">
        <v>117</v>
      </c>
      <c r="H61" s="9">
        <v>1864</v>
      </c>
      <c r="I61">
        <f>IF(TbRegistroEntradas[[#This Row],[Data do Caixa Realizado]]="",0,MONTH(TbRegistroEntradas[[#This Row],[Data do Caixa Realizado]]))</f>
        <v>4</v>
      </c>
      <c r="J61">
        <f>IF(TbRegistroEntradas[[#This Row],[Data do Caixa Realizado]]="",0,YEAR(TbRegistroEntradas[[#This Row],[Data do Caixa Realizado]]))</f>
        <v>2018</v>
      </c>
      <c r="K61">
        <f>IF(TbRegistroEntradas[[#This Row],[Data da Competência]]="",0,MONTH(TbRegistroEntradas[[#This Row],[Data da Competência]]))</f>
        <v>1</v>
      </c>
      <c r="L61">
        <f>IF(TbRegistroEntradas[[#This Row],[Data da Competência]]="",0,YEAR(TbRegistroEntradas[[#This Row],[Data da Competência]]))</f>
        <v>2018</v>
      </c>
      <c r="M61">
        <f>IF(TbRegistroEntradas[[#This Row],[Data do Caixa Previsto]]="",0,MONTH(TbRegistroEntradas[[#This Row],[Data do Caixa Previsto]]))</f>
        <v>1</v>
      </c>
      <c r="N61">
        <f>IF(TbRegistroEntradas[[#This Row],[Data do Caixa Previsto]]="",0,YEAR(TbRegistroEntradas[[#This Row],[Data do Caixa Previsto]]))</f>
        <v>2018</v>
      </c>
      <c r="O61" t="str">
        <f ca="1">IF(AND(TbRegistroEntradas[[#This Row],[Data do Caixa Previsto]]&lt;TODAY(),TbRegistroEntradas[[#This Row],[Data do Caixa Realizado]]=""),"Vencida","Não Vencida")</f>
        <v>Não Vencida</v>
      </c>
      <c r="P61" t="str">
        <f>IF(TbRegistroEntradas[[#This Row],[Data da Competência]]=TbRegistroEntradas[[#This Row],[Data do Caixa Previsto]],"Vista","Prazo")</f>
        <v>Prazo</v>
      </c>
      <c r="Q6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77</v>
      </c>
    </row>
    <row r="62" spans="2:17" x14ac:dyDescent="0.25">
      <c r="B62" s="8">
        <v>43137</v>
      </c>
      <c r="C62" s="8">
        <v>43128</v>
      </c>
      <c r="D62" s="8">
        <v>43128</v>
      </c>
      <c r="E62" t="s">
        <v>23</v>
      </c>
      <c r="F62" t="s">
        <v>34</v>
      </c>
      <c r="G62" t="s">
        <v>118</v>
      </c>
      <c r="H62" s="9">
        <v>1184</v>
      </c>
      <c r="I62">
        <f>IF(TbRegistroEntradas[[#This Row],[Data do Caixa Realizado]]="",0,MONTH(TbRegistroEntradas[[#This Row],[Data do Caixa Realizado]]))</f>
        <v>2</v>
      </c>
      <c r="J62">
        <f>IF(TbRegistroEntradas[[#This Row],[Data do Caixa Realizado]]="",0,YEAR(TbRegistroEntradas[[#This Row],[Data do Caixa Realizado]]))</f>
        <v>2018</v>
      </c>
      <c r="K62">
        <f>IF(TbRegistroEntradas[[#This Row],[Data da Competência]]="",0,MONTH(TbRegistroEntradas[[#This Row],[Data da Competência]]))</f>
        <v>1</v>
      </c>
      <c r="L62">
        <f>IF(TbRegistroEntradas[[#This Row],[Data da Competência]]="",0,YEAR(TbRegistroEntradas[[#This Row],[Data da Competência]]))</f>
        <v>2018</v>
      </c>
      <c r="M62">
        <f>IF(TbRegistroEntradas[[#This Row],[Data do Caixa Previsto]]="",0,MONTH(TbRegistroEntradas[[#This Row],[Data do Caixa Previsto]]))</f>
        <v>1</v>
      </c>
      <c r="N62">
        <f>IF(TbRegistroEntradas[[#This Row],[Data do Caixa Previsto]]="",0,YEAR(TbRegistroEntradas[[#This Row],[Data do Caixa Previsto]]))</f>
        <v>2018</v>
      </c>
      <c r="O62" t="str">
        <f ca="1">IF(AND(TbRegistroEntradas[[#This Row],[Data do Caixa Previsto]]&lt;TODAY(),TbRegistroEntradas[[#This Row],[Data do Caixa Realizado]]=""),"Vencida","Não Vencida")</f>
        <v>Não Vencida</v>
      </c>
      <c r="P62" t="str">
        <f>IF(TbRegistroEntradas[[#This Row],[Data da Competência]]=TbRegistroEntradas[[#This Row],[Data do Caixa Previsto]],"Vista","Prazo")</f>
        <v>Vista</v>
      </c>
      <c r="Q6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9</v>
      </c>
    </row>
    <row r="63" spans="2:17" x14ac:dyDescent="0.25">
      <c r="B63" s="8">
        <v>43161</v>
      </c>
      <c r="C63" s="8">
        <v>43129</v>
      </c>
      <c r="D63" s="8">
        <v>43161</v>
      </c>
      <c r="E63" t="s">
        <v>23</v>
      </c>
      <c r="F63" t="s">
        <v>34</v>
      </c>
      <c r="G63" t="s">
        <v>119</v>
      </c>
      <c r="H63" s="9">
        <v>4055</v>
      </c>
      <c r="I63">
        <f>IF(TbRegistroEntradas[[#This Row],[Data do Caixa Realizado]]="",0,MONTH(TbRegistroEntradas[[#This Row],[Data do Caixa Realizado]]))</f>
        <v>3</v>
      </c>
      <c r="J63">
        <f>IF(TbRegistroEntradas[[#This Row],[Data do Caixa Realizado]]="",0,YEAR(TbRegistroEntradas[[#This Row],[Data do Caixa Realizado]]))</f>
        <v>2018</v>
      </c>
      <c r="K63">
        <f>IF(TbRegistroEntradas[[#This Row],[Data da Competência]]="",0,MONTH(TbRegistroEntradas[[#This Row],[Data da Competência]]))</f>
        <v>1</v>
      </c>
      <c r="L63">
        <f>IF(TbRegistroEntradas[[#This Row],[Data da Competência]]="",0,YEAR(TbRegistroEntradas[[#This Row],[Data da Competência]]))</f>
        <v>2018</v>
      </c>
      <c r="M63">
        <f>IF(TbRegistroEntradas[[#This Row],[Data do Caixa Previsto]]="",0,MONTH(TbRegistroEntradas[[#This Row],[Data do Caixa Previsto]]))</f>
        <v>3</v>
      </c>
      <c r="N63">
        <f>IF(TbRegistroEntradas[[#This Row],[Data do Caixa Previsto]]="",0,YEAR(TbRegistroEntradas[[#This Row],[Data do Caixa Previsto]]))</f>
        <v>2018</v>
      </c>
      <c r="O63" t="str">
        <f ca="1">IF(AND(TbRegistroEntradas[[#This Row],[Data do Caixa Previsto]]&lt;TODAY(),TbRegistroEntradas[[#This Row],[Data do Caixa Realizado]]=""),"Vencida","Não Vencida")</f>
        <v>Não Vencida</v>
      </c>
      <c r="P63" t="str">
        <f>IF(TbRegistroEntradas[[#This Row],[Data da Competência]]=TbRegistroEntradas[[#This Row],[Data do Caixa Previsto]],"Vista","Prazo")</f>
        <v>Prazo</v>
      </c>
      <c r="Q6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4" spans="2:17" x14ac:dyDescent="0.25">
      <c r="B64" s="8">
        <v>43178</v>
      </c>
      <c r="C64" s="8">
        <v>43130</v>
      </c>
      <c r="D64" s="8">
        <v>43178</v>
      </c>
      <c r="E64" t="s">
        <v>23</v>
      </c>
      <c r="F64" t="s">
        <v>34</v>
      </c>
      <c r="G64" t="s">
        <v>120</v>
      </c>
      <c r="H64" s="9">
        <v>427</v>
      </c>
      <c r="I64">
        <f>IF(TbRegistroEntradas[[#This Row],[Data do Caixa Realizado]]="",0,MONTH(TbRegistroEntradas[[#This Row],[Data do Caixa Realizado]]))</f>
        <v>3</v>
      </c>
      <c r="J64">
        <f>IF(TbRegistroEntradas[[#This Row],[Data do Caixa Realizado]]="",0,YEAR(TbRegistroEntradas[[#This Row],[Data do Caixa Realizado]]))</f>
        <v>2018</v>
      </c>
      <c r="K64">
        <f>IF(TbRegistroEntradas[[#This Row],[Data da Competência]]="",0,MONTH(TbRegistroEntradas[[#This Row],[Data da Competência]]))</f>
        <v>1</v>
      </c>
      <c r="L64">
        <f>IF(TbRegistroEntradas[[#This Row],[Data da Competência]]="",0,YEAR(TbRegistroEntradas[[#This Row],[Data da Competência]]))</f>
        <v>2018</v>
      </c>
      <c r="M64">
        <f>IF(TbRegistroEntradas[[#This Row],[Data do Caixa Previsto]]="",0,MONTH(TbRegistroEntradas[[#This Row],[Data do Caixa Previsto]]))</f>
        <v>3</v>
      </c>
      <c r="N64">
        <f>IF(TbRegistroEntradas[[#This Row],[Data do Caixa Previsto]]="",0,YEAR(TbRegistroEntradas[[#This Row],[Data do Caixa Previsto]]))</f>
        <v>2018</v>
      </c>
      <c r="O64" t="str">
        <f ca="1">IF(AND(TbRegistroEntradas[[#This Row],[Data do Caixa Previsto]]&lt;TODAY(),TbRegistroEntradas[[#This Row],[Data do Caixa Realizado]]=""),"Vencida","Não Vencida")</f>
        <v>Não Vencida</v>
      </c>
      <c r="P64" t="str">
        <f>IF(TbRegistroEntradas[[#This Row],[Data da Competência]]=TbRegistroEntradas[[#This Row],[Data do Caixa Previsto]],"Vista","Prazo")</f>
        <v>Prazo</v>
      </c>
      <c r="Q6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5" spans="2:17" x14ac:dyDescent="0.25">
      <c r="B65" s="8">
        <v>43138</v>
      </c>
      <c r="C65" s="8">
        <v>43133</v>
      </c>
      <c r="D65" s="8">
        <v>43138</v>
      </c>
      <c r="E65" t="s">
        <v>23</v>
      </c>
      <c r="F65" t="s">
        <v>33</v>
      </c>
      <c r="G65" t="s">
        <v>121</v>
      </c>
      <c r="H65" s="9">
        <v>460</v>
      </c>
      <c r="I65">
        <f>IF(TbRegistroEntradas[[#This Row],[Data do Caixa Realizado]]="",0,MONTH(TbRegistroEntradas[[#This Row],[Data do Caixa Realizado]]))</f>
        <v>2</v>
      </c>
      <c r="J65">
        <f>IF(TbRegistroEntradas[[#This Row],[Data do Caixa Realizado]]="",0,YEAR(TbRegistroEntradas[[#This Row],[Data do Caixa Realizado]]))</f>
        <v>2018</v>
      </c>
      <c r="K65">
        <f>IF(TbRegistroEntradas[[#This Row],[Data da Competência]]="",0,MONTH(TbRegistroEntradas[[#This Row],[Data da Competência]]))</f>
        <v>2</v>
      </c>
      <c r="L65">
        <f>IF(TbRegistroEntradas[[#This Row],[Data da Competência]]="",0,YEAR(TbRegistroEntradas[[#This Row],[Data da Competência]]))</f>
        <v>2018</v>
      </c>
      <c r="M65">
        <f>IF(TbRegistroEntradas[[#This Row],[Data do Caixa Previsto]]="",0,MONTH(TbRegistroEntradas[[#This Row],[Data do Caixa Previsto]]))</f>
        <v>2</v>
      </c>
      <c r="N65">
        <f>IF(TbRegistroEntradas[[#This Row],[Data do Caixa Previsto]]="",0,YEAR(TbRegistroEntradas[[#This Row],[Data do Caixa Previsto]]))</f>
        <v>2018</v>
      </c>
      <c r="O65" t="str">
        <f ca="1">IF(AND(TbRegistroEntradas[[#This Row],[Data do Caixa Previsto]]&lt;TODAY(),TbRegistroEntradas[[#This Row],[Data do Caixa Realizado]]=""),"Vencida","Não Vencida")</f>
        <v>Não Vencida</v>
      </c>
      <c r="P65" t="str">
        <f>IF(TbRegistroEntradas[[#This Row],[Data da Competência]]=TbRegistroEntradas[[#This Row],[Data do Caixa Previsto]],"Vista","Prazo")</f>
        <v>Prazo</v>
      </c>
      <c r="Q6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6" spans="2:17" x14ac:dyDescent="0.25">
      <c r="B66" s="8" t="s">
        <v>68</v>
      </c>
      <c r="C66" s="8">
        <v>43136</v>
      </c>
      <c r="D66" s="8">
        <v>43190</v>
      </c>
      <c r="E66" t="s">
        <v>23</v>
      </c>
      <c r="F66" t="s">
        <v>35</v>
      </c>
      <c r="G66" t="s">
        <v>122</v>
      </c>
      <c r="H66" s="9">
        <v>964</v>
      </c>
      <c r="I66">
        <f>IF(TbRegistroEntradas[[#This Row],[Data do Caixa Realizado]]="",0,MONTH(TbRegistroEntradas[[#This Row],[Data do Caixa Realizado]]))</f>
        <v>0</v>
      </c>
      <c r="J66">
        <f>IF(TbRegistroEntradas[[#This Row],[Data do Caixa Realizado]]="",0,YEAR(TbRegistroEntradas[[#This Row],[Data do Caixa Realizado]]))</f>
        <v>0</v>
      </c>
      <c r="K66">
        <f>IF(TbRegistroEntradas[[#This Row],[Data da Competência]]="",0,MONTH(TbRegistroEntradas[[#This Row],[Data da Competência]]))</f>
        <v>2</v>
      </c>
      <c r="L66">
        <f>IF(TbRegistroEntradas[[#This Row],[Data da Competência]]="",0,YEAR(TbRegistroEntradas[[#This Row],[Data da Competência]]))</f>
        <v>2018</v>
      </c>
      <c r="M66">
        <f>IF(TbRegistroEntradas[[#This Row],[Data do Caixa Previsto]]="",0,MONTH(TbRegistroEntradas[[#This Row],[Data do Caixa Previsto]]))</f>
        <v>3</v>
      </c>
      <c r="N66">
        <f>IF(TbRegistroEntradas[[#This Row],[Data do Caixa Previsto]]="",0,YEAR(TbRegistroEntradas[[#This Row],[Data do Caixa Previsto]]))</f>
        <v>2018</v>
      </c>
      <c r="O66" t="str">
        <f ca="1">IF(AND(TbRegistroEntradas[[#This Row],[Data do Caixa Previsto]]&lt;TODAY(),TbRegistroEntradas[[#This Row],[Data do Caixa Realizado]]=""),"Vencida","Não Vencida")</f>
        <v>Vencida</v>
      </c>
      <c r="P66" t="str">
        <f>IF(TbRegistroEntradas[[#This Row],[Data da Competência]]=TbRegistroEntradas[[#This Row],[Data do Caixa Previsto]],"Vista","Prazo")</f>
        <v>Prazo</v>
      </c>
      <c r="Q6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1725</v>
      </c>
    </row>
    <row r="67" spans="2:17" x14ac:dyDescent="0.25">
      <c r="B67" s="8">
        <v>43145</v>
      </c>
      <c r="C67" s="8">
        <v>43140</v>
      </c>
      <c r="D67" s="8">
        <v>43145</v>
      </c>
      <c r="E67" t="s">
        <v>23</v>
      </c>
      <c r="F67" t="s">
        <v>34</v>
      </c>
      <c r="G67" t="s">
        <v>123</v>
      </c>
      <c r="H67" s="9">
        <v>3412</v>
      </c>
      <c r="I67">
        <f>IF(TbRegistroEntradas[[#This Row],[Data do Caixa Realizado]]="",0,MONTH(TbRegistroEntradas[[#This Row],[Data do Caixa Realizado]]))</f>
        <v>2</v>
      </c>
      <c r="J67">
        <f>IF(TbRegistroEntradas[[#This Row],[Data do Caixa Realizado]]="",0,YEAR(TbRegistroEntradas[[#This Row],[Data do Caixa Realizado]]))</f>
        <v>2018</v>
      </c>
      <c r="K67">
        <f>IF(TbRegistroEntradas[[#This Row],[Data da Competência]]="",0,MONTH(TbRegistroEntradas[[#This Row],[Data da Competência]]))</f>
        <v>2</v>
      </c>
      <c r="L67">
        <f>IF(TbRegistroEntradas[[#This Row],[Data da Competência]]="",0,YEAR(TbRegistroEntradas[[#This Row],[Data da Competência]]))</f>
        <v>2018</v>
      </c>
      <c r="M67">
        <f>IF(TbRegistroEntradas[[#This Row],[Data do Caixa Previsto]]="",0,MONTH(TbRegistroEntradas[[#This Row],[Data do Caixa Previsto]]))</f>
        <v>2</v>
      </c>
      <c r="N67">
        <f>IF(TbRegistroEntradas[[#This Row],[Data do Caixa Previsto]]="",0,YEAR(TbRegistroEntradas[[#This Row],[Data do Caixa Previsto]]))</f>
        <v>2018</v>
      </c>
      <c r="O67" t="str">
        <f ca="1">IF(AND(TbRegistroEntradas[[#This Row],[Data do Caixa Previsto]]&lt;TODAY(),TbRegistroEntradas[[#This Row],[Data do Caixa Realizado]]=""),"Vencida","Não Vencida")</f>
        <v>Não Vencida</v>
      </c>
      <c r="P67" t="str">
        <f>IF(TbRegistroEntradas[[#This Row],[Data da Competência]]=TbRegistroEntradas[[#This Row],[Data do Caixa Previsto]],"Vista","Prazo")</f>
        <v>Prazo</v>
      </c>
      <c r="Q6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8" spans="2:17" x14ac:dyDescent="0.25">
      <c r="B68" s="8">
        <v>43146</v>
      </c>
      <c r="C68" s="8">
        <v>43142</v>
      </c>
      <c r="D68" s="8">
        <v>43146</v>
      </c>
      <c r="E68" t="s">
        <v>23</v>
      </c>
      <c r="F68" t="s">
        <v>32</v>
      </c>
      <c r="G68" t="s">
        <v>124</v>
      </c>
      <c r="H68" s="9">
        <v>3095</v>
      </c>
      <c r="I68">
        <f>IF(TbRegistroEntradas[[#This Row],[Data do Caixa Realizado]]="",0,MONTH(TbRegistroEntradas[[#This Row],[Data do Caixa Realizado]]))</f>
        <v>2</v>
      </c>
      <c r="J68">
        <f>IF(TbRegistroEntradas[[#This Row],[Data do Caixa Realizado]]="",0,YEAR(TbRegistroEntradas[[#This Row],[Data do Caixa Realizado]]))</f>
        <v>2018</v>
      </c>
      <c r="K68">
        <f>IF(TbRegistroEntradas[[#This Row],[Data da Competência]]="",0,MONTH(TbRegistroEntradas[[#This Row],[Data da Competência]]))</f>
        <v>2</v>
      </c>
      <c r="L68">
        <f>IF(TbRegistroEntradas[[#This Row],[Data da Competência]]="",0,YEAR(TbRegistroEntradas[[#This Row],[Data da Competência]]))</f>
        <v>2018</v>
      </c>
      <c r="M68">
        <f>IF(TbRegistroEntradas[[#This Row],[Data do Caixa Previsto]]="",0,MONTH(TbRegistroEntradas[[#This Row],[Data do Caixa Previsto]]))</f>
        <v>2</v>
      </c>
      <c r="N68">
        <f>IF(TbRegistroEntradas[[#This Row],[Data do Caixa Previsto]]="",0,YEAR(TbRegistroEntradas[[#This Row],[Data do Caixa Previsto]]))</f>
        <v>2018</v>
      </c>
      <c r="O68" t="str">
        <f ca="1">IF(AND(TbRegistroEntradas[[#This Row],[Data do Caixa Previsto]]&lt;TODAY(),TbRegistroEntradas[[#This Row],[Data do Caixa Realizado]]=""),"Vencida","Não Vencida")</f>
        <v>Não Vencida</v>
      </c>
      <c r="P68" t="str">
        <f>IF(TbRegistroEntradas[[#This Row],[Data da Competência]]=TbRegistroEntradas[[#This Row],[Data do Caixa Previsto]],"Vista","Prazo")</f>
        <v>Prazo</v>
      </c>
      <c r="Q6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69" spans="2:17" x14ac:dyDescent="0.25">
      <c r="B69" s="8">
        <v>43193</v>
      </c>
      <c r="C69" s="8">
        <v>43148</v>
      </c>
      <c r="D69" s="8">
        <v>43193</v>
      </c>
      <c r="E69" t="s">
        <v>23</v>
      </c>
      <c r="F69" t="s">
        <v>33</v>
      </c>
      <c r="G69" t="s">
        <v>125</v>
      </c>
      <c r="H69" s="9">
        <v>1532</v>
      </c>
      <c r="I69">
        <f>IF(TbRegistroEntradas[[#This Row],[Data do Caixa Realizado]]="",0,MONTH(TbRegistroEntradas[[#This Row],[Data do Caixa Realizado]]))</f>
        <v>4</v>
      </c>
      <c r="J69">
        <f>IF(TbRegistroEntradas[[#This Row],[Data do Caixa Realizado]]="",0,YEAR(TbRegistroEntradas[[#This Row],[Data do Caixa Realizado]]))</f>
        <v>2018</v>
      </c>
      <c r="K69">
        <f>IF(TbRegistroEntradas[[#This Row],[Data da Competência]]="",0,MONTH(TbRegistroEntradas[[#This Row],[Data da Competência]]))</f>
        <v>2</v>
      </c>
      <c r="L69">
        <f>IF(TbRegistroEntradas[[#This Row],[Data da Competência]]="",0,YEAR(TbRegistroEntradas[[#This Row],[Data da Competência]]))</f>
        <v>2018</v>
      </c>
      <c r="M69">
        <f>IF(TbRegistroEntradas[[#This Row],[Data do Caixa Previsto]]="",0,MONTH(TbRegistroEntradas[[#This Row],[Data do Caixa Previsto]]))</f>
        <v>4</v>
      </c>
      <c r="N69">
        <f>IF(TbRegistroEntradas[[#This Row],[Data do Caixa Previsto]]="",0,YEAR(TbRegistroEntradas[[#This Row],[Data do Caixa Previsto]]))</f>
        <v>2018</v>
      </c>
      <c r="O69" t="str">
        <f ca="1">IF(AND(TbRegistroEntradas[[#This Row],[Data do Caixa Previsto]]&lt;TODAY(),TbRegistroEntradas[[#This Row],[Data do Caixa Realizado]]=""),"Vencida","Não Vencida")</f>
        <v>Não Vencida</v>
      </c>
      <c r="P69" t="str">
        <f>IF(TbRegistroEntradas[[#This Row],[Data da Competência]]=TbRegistroEntradas[[#This Row],[Data do Caixa Previsto]],"Vista","Prazo")</f>
        <v>Prazo</v>
      </c>
      <c r="Q6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0" spans="2:17" x14ac:dyDescent="0.25">
      <c r="B70" s="8">
        <v>43193</v>
      </c>
      <c r="C70" s="8">
        <v>43151</v>
      </c>
      <c r="D70" s="8">
        <v>43193</v>
      </c>
      <c r="E70" t="s">
        <v>23</v>
      </c>
      <c r="F70" t="s">
        <v>33</v>
      </c>
      <c r="G70" t="s">
        <v>126</v>
      </c>
      <c r="H70" s="9">
        <v>3726</v>
      </c>
      <c r="I70">
        <f>IF(TbRegistroEntradas[[#This Row],[Data do Caixa Realizado]]="",0,MONTH(TbRegistroEntradas[[#This Row],[Data do Caixa Realizado]]))</f>
        <v>4</v>
      </c>
      <c r="J70">
        <f>IF(TbRegistroEntradas[[#This Row],[Data do Caixa Realizado]]="",0,YEAR(TbRegistroEntradas[[#This Row],[Data do Caixa Realizado]]))</f>
        <v>2018</v>
      </c>
      <c r="K70">
        <f>IF(TbRegistroEntradas[[#This Row],[Data da Competência]]="",0,MONTH(TbRegistroEntradas[[#This Row],[Data da Competência]]))</f>
        <v>2</v>
      </c>
      <c r="L70">
        <f>IF(TbRegistroEntradas[[#This Row],[Data da Competência]]="",0,YEAR(TbRegistroEntradas[[#This Row],[Data da Competência]]))</f>
        <v>2018</v>
      </c>
      <c r="M70">
        <f>IF(TbRegistroEntradas[[#This Row],[Data do Caixa Previsto]]="",0,MONTH(TbRegistroEntradas[[#This Row],[Data do Caixa Previsto]]))</f>
        <v>4</v>
      </c>
      <c r="N70">
        <f>IF(TbRegistroEntradas[[#This Row],[Data do Caixa Previsto]]="",0,YEAR(TbRegistroEntradas[[#This Row],[Data do Caixa Previsto]]))</f>
        <v>2018</v>
      </c>
      <c r="O70" t="str">
        <f ca="1">IF(AND(TbRegistroEntradas[[#This Row],[Data do Caixa Previsto]]&lt;TODAY(),TbRegistroEntradas[[#This Row],[Data do Caixa Realizado]]=""),"Vencida","Não Vencida")</f>
        <v>Não Vencida</v>
      </c>
      <c r="P70" t="str">
        <f>IF(TbRegistroEntradas[[#This Row],[Data da Competência]]=TbRegistroEntradas[[#This Row],[Data do Caixa Previsto]],"Vista","Prazo")</f>
        <v>Prazo</v>
      </c>
      <c r="Q7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1" spans="2:17" x14ac:dyDescent="0.25">
      <c r="B71" s="8">
        <v>43154</v>
      </c>
      <c r="C71" s="8">
        <v>43154</v>
      </c>
      <c r="D71" s="8">
        <v>43154</v>
      </c>
      <c r="E71" t="s">
        <v>23</v>
      </c>
      <c r="F71" t="s">
        <v>34</v>
      </c>
      <c r="G71" t="s">
        <v>127</v>
      </c>
      <c r="H71" s="9">
        <v>4322</v>
      </c>
      <c r="I71">
        <f>IF(TbRegistroEntradas[[#This Row],[Data do Caixa Realizado]]="",0,MONTH(TbRegistroEntradas[[#This Row],[Data do Caixa Realizado]]))</f>
        <v>2</v>
      </c>
      <c r="J71">
        <f>IF(TbRegistroEntradas[[#This Row],[Data do Caixa Realizado]]="",0,YEAR(TbRegistroEntradas[[#This Row],[Data do Caixa Realizado]]))</f>
        <v>2018</v>
      </c>
      <c r="K71">
        <f>IF(TbRegistroEntradas[[#This Row],[Data da Competência]]="",0,MONTH(TbRegistroEntradas[[#This Row],[Data da Competência]]))</f>
        <v>2</v>
      </c>
      <c r="L71">
        <f>IF(TbRegistroEntradas[[#This Row],[Data da Competência]]="",0,YEAR(TbRegistroEntradas[[#This Row],[Data da Competência]]))</f>
        <v>2018</v>
      </c>
      <c r="M71">
        <f>IF(TbRegistroEntradas[[#This Row],[Data do Caixa Previsto]]="",0,MONTH(TbRegistroEntradas[[#This Row],[Data do Caixa Previsto]]))</f>
        <v>2</v>
      </c>
      <c r="N71">
        <f>IF(TbRegistroEntradas[[#This Row],[Data do Caixa Previsto]]="",0,YEAR(TbRegistroEntradas[[#This Row],[Data do Caixa Previsto]]))</f>
        <v>2018</v>
      </c>
      <c r="O71" t="str">
        <f ca="1">IF(AND(TbRegistroEntradas[[#This Row],[Data do Caixa Previsto]]&lt;TODAY(),TbRegistroEntradas[[#This Row],[Data do Caixa Realizado]]=""),"Vencida","Não Vencida")</f>
        <v>Não Vencida</v>
      </c>
      <c r="P71" t="str">
        <f>IF(TbRegistroEntradas[[#This Row],[Data da Competência]]=TbRegistroEntradas[[#This Row],[Data do Caixa Previsto]],"Vista","Prazo")</f>
        <v>Vista</v>
      </c>
      <c r="Q7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2" spans="2:17" x14ac:dyDescent="0.25">
      <c r="B72" s="8" t="s">
        <v>68</v>
      </c>
      <c r="C72" s="8">
        <v>43156</v>
      </c>
      <c r="D72" s="8">
        <v>43205</v>
      </c>
      <c r="E72" t="s">
        <v>23</v>
      </c>
      <c r="F72" t="s">
        <v>32</v>
      </c>
      <c r="G72" t="s">
        <v>128</v>
      </c>
      <c r="H72" s="9">
        <v>3998</v>
      </c>
      <c r="I72">
        <f>IF(TbRegistroEntradas[[#This Row],[Data do Caixa Realizado]]="",0,MONTH(TbRegistroEntradas[[#This Row],[Data do Caixa Realizado]]))</f>
        <v>0</v>
      </c>
      <c r="J72">
        <f>IF(TbRegistroEntradas[[#This Row],[Data do Caixa Realizado]]="",0,YEAR(TbRegistroEntradas[[#This Row],[Data do Caixa Realizado]]))</f>
        <v>0</v>
      </c>
      <c r="K72">
        <f>IF(TbRegistroEntradas[[#This Row],[Data da Competência]]="",0,MONTH(TbRegistroEntradas[[#This Row],[Data da Competência]]))</f>
        <v>2</v>
      </c>
      <c r="L72">
        <f>IF(TbRegistroEntradas[[#This Row],[Data da Competência]]="",0,YEAR(TbRegistroEntradas[[#This Row],[Data da Competência]]))</f>
        <v>2018</v>
      </c>
      <c r="M72">
        <f>IF(TbRegistroEntradas[[#This Row],[Data do Caixa Previsto]]="",0,MONTH(TbRegistroEntradas[[#This Row],[Data do Caixa Previsto]]))</f>
        <v>4</v>
      </c>
      <c r="N72">
        <f>IF(TbRegistroEntradas[[#This Row],[Data do Caixa Previsto]]="",0,YEAR(TbRegistroEntradas[[#This Row],[Data do Caixa Previsto]]))</f>
        <v>2018</v>
      </c>
      <c r="O72" t="str">
        <f ca="1">IF(AND(TbRegistroEntradas[[#This Row],[Data do Caixa Previsto]]&lt;TODAY(),TbRegistroEntradas[[#This Row],[Data do Caixa Realizado]]=""),"Vencida","Não Vencida")</f>
        <v>Vencida</v>
      </c>
      <c r="P72" t="str">
        <f>IF(TbRegistroEntradas[[#This Row],[Data da Competência]]=TbRegistroEntradas[[#This Row],[Data do Caixa Previsto]],"Vista","Prazo")</f>
        <v>Prazo</v>
      </c>
      <c r="Q7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1710</v>
      </c>
    </row>
    <row r="73" spans="2:17" x14ac:dyDescent="0.25">
      <c r="B73" s="8">
        <v>43246</v>
      </c>
      <c r="C73" s="8">
        <v>43158</v>
      </c>
      <c r="D73" s="8">
        <v>43188</v>
      </c>
      <c r="E73" t="s">
        <v>23</v>
      </c>
      <c r="F73" t="s">
        <v>32</v>
      </c>
      <c r="G73" t="s">
        <v>129</v>
      </c>
      <c r="H73" s="9">
        <v>3252</v>
      </c>
      <c r="I73">
        <f>IF(TbRegistroEntradas[[#This Row],[Data do Caixa Realizado]]="",0,MONTH(TbRegistroEntradas[[#This Row],[Data do Caixa Realizado]]))</f>
        <v>5</v>
      </c>
      <c r="J73">
        <f>IF(TbRegistroEntradas[[#This Row],[Data do Caixa Realizado]]="",0,YEAR(TbRegistroEntradas[[#This Row],[Data do Caixa Realizado]]))</f>
        <v>2018</v>
      </c>
      <c r="K73">
        <f>IF(TbRegistroEntradas[[#This Row],[Data da Competência]]="",0,MONTH(TbRegistroEntradas[[#This Row],[Data da Competência]]))</f>
        <v>2</v>
      </c>
      <c r="L73">
        <f>IF(TbRegistroEntradas[[#This Row],[Data da Competência]]="",0,YEAR(TbRegistroEntradas[[#This Row],[Data da Competência]]))</f>
        <v>2018</v>
      </c>
      <c r="M73">
        <f>IF(TbRegistroEntradas[[#This Row],[Data do Caixa Previsto]]="",0,MONTH(TbRegistroEntradas[[#This Row],[Data do Caixa Previsto]]))</f>
        <v>3</v>
      </c>
      <c r="N73">
        <f>IF(TbRegistroEntradas[[#This Row],[Data do Caixa Previsto]]="",0,YEAR(TbRegistroEntradas[[#This Row],[Data do Caixa Previsto]]))</f>
        <v>2018</v>
      </c>
      <c r="O73" t="str">
        <f ca="1">IF(AND(TbRegistroEntradas[[#This Row],[Data do Caixa Previsto]]&lt;TODAY(),TbRegistroEntradas[[#This Row],[Data do Caixa Realizado]]=""),"Vencida","Não Vencida")</f>
        <v>Não Vencida</v>
      </c>
      <c r="P73" t="str">
        <f>IF(TbRegistroEntradas[[#This Row],[Data da Competência]]=TbRegistroEntradas[[#This Row],[Data do Caixa Previsto]],"Vista","Prazo")</f>
        <v>Prazo</v>
      </c>
      <c r="Q7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74" spans="2:17" x14ac:dyDescent="0.25">
      <c r="B74" s="8">
        <v>43169</v>
      </c>
      <c r="C74" s="8">
        <v>43160</v>
      </c>
      <c r="D74" s="8">
        <v>43169</v>
      </c>
      <c r="E74" t="s">
        <v>23</v>
      </c>
      <c r="F74" t="s">
        <v>33</v>
      </c>
      <c r="G74" t="s">
        <v>130</v>
      </c>
      <c r="H74" s="9">
        <v>3701</v>
      </c>
      <c r="I74">
        <f>IF(TbRegistroEntradas[[#This Row],[Data do Caixa Realizado]]="",0,MONTH(TbRegistroEntradas[[#This Row],[Data do Caixa Realizado]]))</f>
        <v>3</v>
      </c>
      <c r="J74">
        <f>IF(TbRegistroEntradas[[#This Row],[Data do Caixa Realizado]]="",0,YEAR(TbRegistroEntradas[[#This Row],[Data do Caixa Realizado]]))</f>
        <v>2018</v>
      </c>
      <c r="K74">
        <f>IF(TbRegistroEntradas[[#This Row],[Data da Competência]]="",0,MONTH(TbRegistroEntradas[[#This Row],[Data da Competência]]))</f>
        <v>3</v>
      </c>
      <c r="L74">
        <f>IF(TbRegistroEntradas[[#This Row],[Data da Competência]]="",0,YEAR(TbRegistroEntradas[[#This Row],[Data da Competência]]))</f>
        <v>2018</v>
      </c>
      <c r="M74">
        <f>IF(TbRegistroEntradas[[#This Row],[Data do Caixa Previsto]]="",0,MONTH(TbRegistroEntradas[[#This Row],[Data do Caixa Previsto]]))</f>
        <v>3</v>
      </c>
      <c r="N74">
        <f>IF(TbRegistroEntradas[[#This Row],[Data do Caixa Previsto]]="",0,YEAR(TbRegistroEntradas[[#This Row],[Data do Caixa Previsto]]))</f>
        <v>2018</v>
      </c>
      <c r="O74" t="str">
        <f ca="1">IF(AND(TbRegistroEntradas[[#This Row],[Data do Caixa Previsto]]&lt;TODAY(),TbRegistroEntradas[[#This Row],[Data do Caixa Realizado]]=""),"Vencida","Não Vencida")</f>
        <v>Não Vencida</v>
      </c>
      <c r="P74" t="str">
        <f>IF(TbRegistroEntradas[[#This Row],[Data da Competência]]=TbRegistroEntradas[[#This Row],[Data do Caixa Previsto]],"Vista","Prazo")</f>
        <v>Prazo</v>
      </c>
      <c r="Q7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5" spans="2:17" x14ac:dyDescent="0.25">
      <c r="B75" s="8" t="s">
        <v>68</v>
      </c>
      <c r="C75" s="8">
        <v>43162</v>
      </c>
      <c r="D75" s="8">
        <v>43202</v>
      </c>
      <c r="E75" t="s">
        <v>23</v>
      </c>
      <c r="F75" t="s">
        <v>35</v>
      </c>
      <c r="G75" t="s">
        <v>131</v>
      </c>
      <c r="H75" s="9">
        <v>1977</v>
      </c>
      <c r="I75">
        <f>IF(TbRegistroEntradas[[#This Row],[Data do Caixa Realizado]]="",0,MONTH(TbRegistroEntradas[[#This Row],[Data do Caixa Realizado]]))</f>
        <v>0</v>
      </c>
      <c r="J75">
        <f>IF(TbRegistroEntradas[[#This Row],[Data do Caixa Realizado]]="",0,YEAR(TbRegistroEntradas[[#This Row],[Data do Caixa Realizado]]))</f>
        <v>0</v>
      </c>
      <c r="K75">
        <f>IF(TbRegistroEntradas[[#This Row],[Data da Competência]]="",0,MONTH(TbRegistroEntradas[[#This Row],[Data da Competência]]))</f>
        <v>3</v>
      </c>
      <c r="L75">
        <f>IF(TbRegistroEntradas[[#This Row],[Data da Competência]]="",0,YEAR(TbRegistroEntradas[[#This Row],[Data da Competência]]))</f>
        <v>2018</v>
      </c>
      <c r="M75">
        <f>IF(TbRegistroEntradas[[#This Row],[Data do Caixa Previsto]]="",0,MONTH(TbRegistroEntradas[[#This Row],[Data do Caixa Previsto]]))</f>
        <v>4</v>
      </c>
      <c r="N75">
        <f>IF(TbRegistroEntradas[[#This Row],[Data do Caixa Previsto]]="",0,YEAR(TbRegistroEntradas[[#This Row],[Data do Caixa Previsto]]))</f>
        <v>2018</v>
      </c>
      <c r="O75" t="str">
        <f ca="1">IF(AND(TbRegistroEntradas[[#This Row],[Data do Caixa Previsto]]&lt;TODAY(),TbRegistroEntradas[[#This Row],[Data do Caixa Realizado]]=""),"Vencida","Não Vencida")</f>
        <v>Vencida</v>
      </c>
      <c r="P75" t="str">
        <f>IF(TbRegistroEntradas[[#This Row],[Data da Competência]]=TbRegistroEntradas[[#This Row],[Data do Caixa Previsto]],"Vista","Prazo")</f>
        <v>Prazo</v>
      </c>
      <c r="Q7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1713</v>
      </c>
    </row>
    <row r="76" spans="2:17" x14ac:dyDescent="0.25">
      <c r="B76" s="8">
        <v>43287</v>
      </c>
      <c r="C76" s="8">
        <v>43163</v>
      </c>
      <c r="D76" s="8">
        <v>43211</v>
      </c>
      <c r="E76" t="s">
        <v>23</v>
      </c>
      <c r="F76" t="s">
        <v>33</v>
      </c>
      <c r="G76" t="s">
        <v>132</v>
      </c>
      <c r="H76" s="9">
        <v>1217</v>
      </c>
      <c r="I76">
        <f>IF(TbRegistroEntradas[[#This Row],[Data do Caixa Realizado]]="",0,MONTH(TbRegistroEntradas[[#This Row],[Data do Caixa Realizado]]))</f>
        <v>7</v>
      </c>
      <c r="J76">
        <f>IF(TbRegistroEntradas[[#This Row],[Data do Caixa Realizado]]="",0,YEAR(TbRegistroEntradas[[#This Row],[Data do Caixa Realizado]]))</f>
        <v>2018</v>
      </c>
      <c r="K76">
        <f>IF(TbRegistroEntradas[[#This Row],[Data da Competência]]="",0,MONTH(TbRegistroEntradas[[#This Row],[Data da Competência]]))</f>
        <v>3</v>
      </c>
      <c r="L76">
        <f>IF(TbRegistroEntradas[[#This Row],[Data da Competência]]="",0,YEAR(TbRegistroEntradas[[#This Row],[Data da Competência]]))</f>
        <v>2018</v>
      </c>
      <c r="M76">
        <f>IF(TbRegistroEntradas[[#This Row],[Data do Caixa Previsto]]="",0,MONTH(TbRegistroEntradas[[#This Row],[Data do Caixa Previsto]]))</f>
        <v>4</v>
      </c>
      <c r="N76">
        <f>IF(TbRegistroEntradas[[#This Row],[Data do Caixa Previsto]]="",0,YEAR(TbRegistroEntradas[[#This Row],[Data do Caixa Previsto]]))</f>
        <v>2018</v>
      </c>
      <c r="O76" t="str">
        <f ca="1">IF(AND(TbRegistroEntradas[[#This Row],[Data do Caixa Previsto]]&lt;TODAY(),TbRegistroEntradas[[#This Row],[Data do Caixa Realizado]]=""),"Vencida","Não Vencida")</f>
        <v>Não Vencida</v>
      </c>
      <c r="P76" t="str">
        <f>IF(TbRegistroEntradas[[#This Row],[Data da Competência]]=TbRegistroEntradas[[#This Row],[Data do Caixa Previsto]],"Vista","Prazo")</f>
        <v>Prazo</v>
      </c>
      <c r="Q7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76</v>
      </c>
    </row>
    <row r="77" spans="2:17" x14ac:dyDescent="0.25">
      <c r="B77" s="8">
        <v>43203</v>
      </c>
      <c r="C77" s="8">
        <v>43166</v>
      </c>
      <c r="D77" s="8">
        <v>43203</v>
      </c>
      <c r="E77" t="s">
        <v>23</v>
      </c>
      <c r="F77" t="s">
        <v>31</v>
      </c>
      <c r="G77" t="s">
        <v>133</v>
      </c>
      <c r="H77" s="9">
        <v>1660</v>
      </c>
      <c r="I77">
        <f>IF(TbRegistroEntradas[[#This Row],[Data do Caixa Realizado]]="",0,MONTH(TbRegistroEntradas[[#This Row],[Data do Caixa Realizado]]))</f>
        <v>4</v>
      </c>
      <c r="J77">
        <f>IF(TbRegistroEntradas[[#This Row],[Data do Caixa Realizado]]="",0,YEAR(TbRegistroEntradas[[#This Row],[Data do Caixa Realizado]]))</f>
        <v>2018</v>
      </c>
      <c r="K77">
        <f>IF(TbRegistroEntradas[[#This Row],[Data da Competência]]="",0,MONTH(TbRegistroEntradas[[#This Row],[Data da Competência]]))</f>
        <v>3</v>
      </c>
      <c r="L77">
        <f>IF(TbRegistroEntradas[[#This Row],[Data da Competência]]="",0,YEAR(TbRegistroEntradas[[#This Row],[Data da Competência]]))</f>
        <v>2018</v>
      </c>
      <c r="M77">
        <f>IF(TbRegistroEntradas[[#This Row],[Data do Caixa Previsto]]="",0,MONTH(TbRegistroEntradas[[#This Row],[Data do Caixa Previsto]]))</f>
        <v>4</v>
      </c>
      <c r="N77">
        <f>IF(TbRegistroEntradas[[#This Row],[Data do Caixa Previsto]]="",0,YEAR(TbRegistroEntradas[[#This Row],[Data do Caixa Previsto]]))</f>
        <v>2018</v>
      </c>
      <c r="O77" t="str">
        <f ca="1">IF(AND(TbRegistroEntradas[[#This Row],[Data do Caixa Previsto]]&lt;TODAY(),TbRegistroEntradas[[#This Row],[Data do Caixa Realizado]]=""),"Vencida","Não Vencida")</f>
        <v>Não Vencida</v>
      </c>
      <c r="P77" t="str">
        <f>IF(TbRegistroEntradas[[#This Row],[Data da Competência]]=TbRegistroEntradas[[#This Row],[Data do Caixa Previsto]],"Vista","Prazo")</f>
        <v>Prazo</v>
      </c>
      <c r="Q7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8" spans="2:17" x14ac:dyDescent="0.25">
      <c r="B78" s="8">
        <v>43169</v>
      </c>
      <c r="C78" s="8">
        <v>43169</v>
      </c>
      <c r="D78" s="8">
        <v>43169</v>
      </c>
      <c r="E78" t="s">
        <v>23</v>
      </c>
      <c r="F78" t="s">
        <v>31</v>
      </c>
      <c r="G78" t="s">
        <v>134</v>
      </c>
      <c r="H78" s="9">
        <v>837</v>
      </c>
      <c r="I78">
        <f>IF(TbRegistroEntradas[[#This Row],[Data do Caixa Realizado]]="",0,MONTH(TbRegistroEntradas[[#This Row],[Data do Caixa Realizado]]))</f>
        <v>3</v>
      </c>
      <c r="J78">
        <f>IF(TbRegistroEntradas[[#This Row],[Data do Caixa Realizado]]="",0,YEAR(TbRegistroEntradas[[#This Row],[Data do Caixa Realizado]]))</f>
        <v>2018</v>
      </c>
      <c r="K78">
        <f>IF(TbRegistroEntradas[[#This Row],[Data da Competência]]="",0,MONTH(TbRegistroEntradas[[#This Row],[Data da Competência]]))</f>
        <v>3</v>
      </c>
      <c r="L78">
        <f>IF(TbRegistroEntradas[[#This Row],[Data da Competência]]="",0,YEAR(TbRegistroEntradas[[#This Row],[Data da Competência]]))</f>
        <v>2018</v>
      </c>
      <c r="M78">
        <f>IF(TbRegistroEntradas[[#This Row],[Data do Caixa Previsto]]="",0,MONTH(TbRegistroEntradas[[#This Row],[Data do Caixa Previsto]]))</f>
        <v>3</v>
      </c>
      <c r="N78">
        <f>IF(TbRegistroEntradas[[#This Row],[Data do Caixa Previsto]]="",0,YEAR(TbRegistroEntradas[[#This Row],[Data do Caixa Previsto]]))</f>
        <v>2018</v>
      </c>
      <c r="O78" t="str">
        <f ca="1">IF(AND(TbRegistroEntradas[[#This Row],[Data do Caixa Previsto]]&lt;TODAY(),TbRegistroEntradas[[#This Row],[Data do Caixa Realizado]]=""),"Vencida","Não Vencida")</f>
        <v>Não Vencida</v>
      </c>
      <c r="P78" t="str">
        <f>IF(TbRegistroEntradas[[#This Row],[Data da Competência]]=TbRegistroEntradas[[#This Row],[Data do Caixa Previsto]],"Vista","Prazo")</f>
        <v>Vista</v>
      </c>
      <c r="Q7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79" spans="2:17" x14ac:dyDescent="0.25">
      <c r="B79" s="8">
        <v>43274</v>
      </c>
      <c r="C79" s="8">
        <v>43171</v>
      </c>
      <c r="D79" s="8">
        <v>43200</v>
      </c>
      <c r="E79" t="s">
        <v>23</v>
      </c>
      <c r="F79" t="s">
        <v>34</v>
      </c>
      <c r="G79" t="s">
        <v>135</v>
      </c>
      <c r="H79" s="9">
        <v>1838</v>
      </c>
      <c r="I79">
        <f>IF(TbRegistroEntradas[[#This Row],[Data do Caixa Realizado]]="",0,MONTH(TbRegistroEntradas[[#This Row],[Data do Caixa Realizado]]))</f>
        <v>6</v>
      </c>
      <c r="J79">
        <f>IF(TbRegistroEntradas[[#This Row],[Data do Caixa Realizado]]="",0,YEAR(TbRegistroEntradas[[#This Row],[Data do Caixa Realizado]]))</f>
        <v>2018</v>
      </c>
      <c r="K79">
        <f>IF(TbRegistroEntradas[[#This Row],[Data da Competência]]="",0,MONTH(TbRegistroEntradas[[#This Row],[Data da Competência]]))</f>
        <v>3</v>
      </c>
      <c r="L79">
        <f>IF(TbRegistroEntradas[[#This Row],[Data da Competência]]="",0,YEAR(TbRegistroEntradas[[#This Row],[Data da Competência]]))</f>
        <v>2018</v>
      </c>
      <c r="M79">
        <f>IF(TbRegistroEntradas[[#This Row],[Data do Caixa Previsto]]="",0,MONTH(TbRegistroEntradas[[#This Row],[Data do Caixa Previsto]]))</f>
        <v>4</v>
      </c>
      <c r="N79">
        <f>IF(TbRegistroEntradas[[#This Row],[Data do Caixa Previsto]]="",0,YEAR(TbRegistroEntradas[[#This Row],[Data do Caixa Previsto]]))</f>
        <v>2018</v>
      </c>
      <c r="O79" t="str">
        <f ca="1">IF(AND(TbRegistroEntradas[[#This Row],[Data do Caixa Previsto]]&lt;TODAY(),TbRegistroEntradas[[#This Row],[Data do Caixa Realizado]]=""),"Vencida","Não Vencida")</f>
        <v>Não Vencida</v>
      </c>
      <c r="P79" t="str">
        <f>IF(TbRegistroEntradas[[#This Row],[Data da Competência]]=TbRegistroEntradas[[#This Row],[Data do Caixa Previsto]],"Vista","Prazo")</f>
        <v>Prazo</v>
      </c>
      <c r="Q7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74</v>
      </c>
    </row>
    <row r="80" spans="2:17" x14ac:dyDescent="0.25">
      <c r="B80" s="8">
        <v>43176</v>
      </c>
      <c r="C80" s="8">
        <v>43176</v>
      </c>
      <c r="D80" s="8">
        <v>43176</v>
      </c>
      <c r="E80" t="s">
        <v>23</v>
      </c>
      <c r="F80" t="s">
        <v>35</v>
      </c>
      <c r="G80" t="s">
        <v>136</v>
      </c>
      <c r="H80" s="9">
        <v>4471</v>
      </c>
      <c r="I80">
        <f>IF(TbRegistroEntradas[[#This Row],[Data do Caixa Realizado]]="",0,MONTH(TbRegistroEntradas[[#This Row],[Data do Caixa Realizado]]))</f>
        <v>3</v>
      </c>
      <c r="J80">
        <f>IF(TbRegistroEntradas[[#This Row],[Data do Caixa Realizado]]="",0,YEAR(TbRegistroEntradas[[#This Row],[Data do Caixa Realizado]]))</f>
        <v>2018</v>
      </c>
      <c r="K80">
        <f>IF(TbRegistroEntradas[[#This Row],[Data da Competência]]="",0,MONTH(TbRegistroEntradas[[#This Row],[Data da Competência]]))</f>
        <v>3</v>
      </c>
      <c r="L80">
        <f>IF(TbRegistroEntradas[[#This Row],[Data da Competência]]="",0,YEAR(TbRegistroEntradas[[#This Row],[Data da Competência]]))</f>
        <v>2018</v>
      </c>
      <c r="M80">
        <f>IF(TbRegistroEntradas[[#This Row],[Data do Caixa Previsto]]="",0,MONTH(TbRegistroEntradas[[#This Row],[Data do Caixa Previsto]]))</f>
        <v>3</v>
      </c>
      <c r="N80">
        <f>IF(TbRegistroEntradas[[#This Row],[Data do Caixa Previsto]]="",0,YEAR(TbRegistroEntradas[[#This Row],[Data do Caixa Previsto]]))</f>
        <v>2018</v>
      </c>
      <c r="O80" t="str">
        <f ca="1">IF(AND(TbRegistroEntradas[[#This Row],[Data do Caixa Previsto]]&lt;TODAY(),TbRegistroEntradas[[#This Row],[Data do Caixa Realizado]]=""),"Vencida","Não Vencida")</f>
        <v>Não Vencida</v>
      </c>
      <c r="P80" t="str">
        <f>IF(TbRegistroEntradas[[#This Row],[Data da Competência]]=TbRegistroEntradas[[#This Row],[Data do Caixa Previsto]],"Vista","Prazo")</f>
        <v>Vista</v>
      </c>
      <c r="Q8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1" spans="2:17" x14ac:dyDescent="0.25">
      <c r="B81" s="8">
        <v>43177</v>
      </c>
      <c r="C81" s="8">
        <v>43177</v>
      </c>
      <c r="D81" s="8">
        <v>43177</v>
      </c>
      <c r="E81" t="s">
        <v>23</v>
      </c>
      <c r="F81" t="s">
        <v>34</v>
      </c>
      <c r="G81" t="s">
        <v>137</v>
      </c>
      <c r="H81" s="9">
        <v>3540</v>
      </c>
      <c r="I81">
        <f>IF(TbRegistroEntradas[[#This Row],[Data do Caixa Realizado]]="",0,MONTH(TbRegistroEntradas[[#This Row],[Data do Caixa Realizado]]))</f>
        <v>3</v>
      </c>
      <c r="J81">
        <f>IF(TbRegistroEntradas[[#This Row],[Data do Caixa Realizado]]="",0,YEAR(TbRegistroEntradas[[#This Row],[Data do Caixa Realizado]]))</f>
        <v>2018</v>
      </c>
      <c r="K81">
        <f>IF(TbRegistroEntradas[[#This Row],[Data da Competência]]="",0,MONTH(TbRegistroEntradas[[#This Row],[Data da Competência]]))</f>
        <v>3</v>
      </c>
      <c r="L81">
        <f>IF(TbRegistroEntradas[[#This Row],[Data da Competência]]="",0,YEAR(TbRegistroEntradas[[#This Row],[Data da Competência]]))</f>
        <v>2018</v>
      </c>
      <c r="M81">
        <f>IF(TbRegistroEntradas[[#This Row],[Data do Caixa Previsto]]="",0,MONTH(TbRegistroEntradas[[#This Row],[Data do Caixa Previsto]]))</f>
        <v>3</v>
      </c>
      <c r="N81">
        <f>IF(TbRegistroEntradas[[#This Row],[Data do Caixa Previsto]]="",0,YEAR(TbRegistroEntradas[[#This Row],[Data do Caixa Previsto]]))</f>
        <v>2018</v>
      </c>
      <c r="O81" t="str">
        <f ca="1">IF(AND(TbRegistroEntradas[[#This Row],[Data do Caixa Previsto]]&lt;TODAY(),TbRegistroEntradas[[#This Row],[Data do Caixa Realizado]]=""),"Vencida","Não Vencida")</f>
        <v>Não Vencida</v>
      </c>
      <c r="P81" t="str">
        <f>IF(TbRegistroEntradas[[#This Row],[Data da Competência]]=TbRegistroEntradas[[#This Row],[Data do Caixa Previsto]],"Vista","Prazo")</f>
        <v>Vista</v>
      </c>
      <c r="Q8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2" spans="2:17" x14ac:dyDescent="0.25">
      <c r="B82" s="8">
        <v>43225</v>
      </c>
      <c r="C82" s="8">
        <v>43180</v>
      </c>
      <c r="D82" s="8">
        <v>43180</v>
      </c>
      <c r="E82" t="s">
        <v>23</v>
      </c>
      <c r="F82" t="s">
        <v>34</v>
      </c>
      <c r="G82" t="s">
        <v>138</v>
      </c>
      <c r="H82" s="9">
        <v>4606</v>
      </c>
      <c r="I82">
        <f>IF(TbRegistroEntradas[[#This Row],[Data do Caixa Realizado]]="",0,MONTH(TbRegistroEntradas[[#This Row],[Data do Caixa Realizado]]))</f>
        <v>5</v>
      </c>
      <c r="J82">
        <f>IF(TbRegistroEntradas[[#This Row],[Data do Caixa Realizado]]="",0,YEAR(TbRegistroEntradas[[#This Row],[Data do Caixa Realizado]]))</f>
        <v>2018</v>
      </c>
      <c r="K82">
        <f>IF(TbRegistroEntradas[[#This Row],[Data da Competência]]="",0,MONTH(TbRegistroEntradas[[#This Row],[Data da Competência]]))</f>
        <v>3</v>
      </c>
      <c r="L82">
        <f>IF(TbRegistroEntradas[[#This Row],[Data da Competência]]="",0,YEAR(TbRegistroEntradas[[#This Row],[Data da Competência]]))</f>
        <v>2018</v>
      </c>
      <c r="M82">
        <f>IF(TbRegistroEntradas[[#This Row],[Data do Caixa Previsto]]="",0,MONTH(TbRegistroEntradas[[#This Row],[Data do Caixa Previsto]]))</f>
        <v>3</v>
      </c>
      <c r="N82">
        <f>IF(TbRegistroEntradas[[#This Row],[Data do Caixa Previsto]]="",0,YEAR(TbRegistroEntradas[[#This Row],[Data do Caixa Previsto]]))</f>
        <v>2018</v>
      </c>
      <c r="O82" t="str">
        <f ca="1">IF(AND(TbRegistroEntradas[[#This Row],[Data do Caixa Previsto]]&lt;TODAY(),TbRegistroEntradas[[#This Row],[Data do Caixa Realizado]]=""),"Vencida","Não Vencida")</f>
        <v>Não Vencida</v>
      </c>
      <c r="P82" t="str">
        <f>IF(TbRegistroEntradas[[#This Row],[Data da Competência]]=TbRegistroEntradas[[#This Row],[Data do Caixa Previsto]],"Vista","Prazo")</f>
        <v>Vista</v>
      </c>
      <c r="Q8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45</v>
      </c>
    </row>
    <row r="83" spans="2:17" x14ac:dyDescent="0.25">
      <c r="B83" s="8">
        <v>43199</v>
      </c>
      <c r="C83" s="8">
        <v>43182</v>
      </c>
      <c r="D83" s="8">
        <v>43199</v>
      </c>
      <c r="E83" t="s">
        <v>23</v>
      </c>
      <c r="F83" t="s">
        <v>32</v>
      </c>
      <c r="G83" t="s">
        <v>139</v>
      </c>
      <c r="H83" s="9">
        <v>2388</v>
      </c>
      <c r="I83">
        <f>IF(TbRegistroEntradas[[#This Row],[Data do Caixa Realizado]]="",0,MONTH(TbRegistroEntradas[[#This Row],[Data do Caixa Realizado]]))</f>
        <v>4</v>
      </c>
      <c r="J83">
        <f>IF(TbRegistroEntradas[[#This Row],[Data do Caixa Realizado]]="",0,YEAR(TbRegistroEntradas[[#This Row],[Data do Caixa Realizado]]))</f>
        <v>2018</v>
      </c>
      <c r="K83">
        <f>IF(TbRegistroEntradas[[#This Row],[Data da Competência]]="",0,MONTH(TbRegistroEntradas[[#This Row],[Data da Competência]]))</f>
        <v>3</v>
      </c>
      <c r="L83">
        <f>IF(TbRegistroEntradas[[#This Row],[Data da Competência]]="",0,YEAR(TbRegistroEntradas[[#This Row],[Data da Competência]]))</f>
        <v>2018</v>
      </c>
      <c r="M83">
        <f>IF(TbRegistroEntradas[[#This Row],[Data do Caixa Previsto]]="",0,MONTH(TbRegistroEntradas[[#This Row],[Data do Caixa Previsto]]))</f>
        <v>4</v>
      </c>
      <c r="N83">
        <f>IF(TbRegistroEntradas[[#This Row],[Data do Caixa Previsto]]="",0,YEAR(TbRegistroEntradas[[#This Row],[Data do Caixa Previsto]]))</f>
        <v>2018</v>
      </c>
      <c r="O83" t="str">
        <f ca="1">IF(AND(TbRegistroEntradas[[#This Row],[Data do Caixa Previsto]]&lt;TODAY(),TbRegistroEntradas[[#This Row],[Data do Caixa Realizado]]=""),"Vencida","Não Vencida")</f>
        <v>Não Vencida</v>
      </c>
      <c r="P83" t="str">
        <f>IF(TbRegistroEntradas[[#This Row],[Data da Competência]]=TbRegistroEntradas[[#This Row],[Data do Caixa Previsto]],"Vista","Prazo")</f>
        <v>Prazo</v>
      </c>
      <c r="Q8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4" spans="2:17" x14ac:dyDescent="0.25">
      <c r="B84" s="8">
        <v>43187</v>
      </c>
      <c r="C84" s="8">
        <v>43184</v>
      </c>
      <c r="D84" s="8">
        <v>43187</v>
      </c>
      <c r="E84" t="s">
        <v>23</v>
      </c>
      <c r="F84" t="s">
        <v>31</v>
      </c>
      <c r="G84" t="s">
        <v>140</v>
      </c>
      <c r="H84" s="9">
        <v>2303</v>
      </c>
      <c r="I84">
        <f>IF(TbRegistroEntradas[[#This Row],[Data do Caixa Realizado]]="",0,MONTH(TbRegistroEntradas[[#This Row],[Data do Caixa Realizado]]))</f>
        <v>3</v>
      </c>
      <c r="J84">
        <f>IF(TbRegistroEntradas[[#This Row],[Data do Caixa Realizado]]="",0,YEAR(TbRegistroEntradas[[#This Row],[Data do Caixa Realizado]]))</f>
        <v>2018</v>
      </c>
      <c r="K84">
        <f>IF(TbRegistroEntradas[[#This Row],[Data da Competência]]="",0,MONTH(TbRegistroEntradas[[#This Row],[Data da Competência]]))</f>
        <v>3</v>
      </c>
      <c r="L84">
        <f>IF(TbRegistroEntradas[[#This Row],[Data da Competência]]="",0,YEAR(TbRegistroEntradas[[#This Row],[Data da Competência]]))</f>
        <v>2018</v>
      </c>
      <c r="M84">
        <f>IF(TbRegistroEntradas[[#This Row],[Data do Caixa Previsto]]="",0,MONTH(TbRegistroEntradas[[#This Row],[Data do Caixa Previsto]]))</f>
        <v>3</v>
      </c>
      <c r="N84">
        <f>IF(TbRegistroEntradas[[#This Row],[Data do Caixa Previsto]]="",0,YEAR(TbRegistroEntradas[[#This Row],[Data do Caixa Previsto]]))</f>
        <v>2018</v>
      </c>
      <c r="O84" t="str">
        <f ca="1">IF(AND(TbRegistroEntradas[[#This Row],[Data do Caixa Previsto]]&lt;TODAY(),TbRegistroEntradas[[#This Row],[Data do Caixa Realizado]]=""),"Vencida","Não Vencida")</f>
        <v>Não Vencida</v>
      </c>
      <c r="P84" t="str">
        <f>IF(TbRegistroEntradas[[#This Row],[Data da Competência]]=TbRegistroEntradas[[#This Row],[Data do Caixa Previsto]],"Vista","Prazo")</f>
        <v>Prazo</v>
      </c>
      <c r="Q8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5" spans="2:17" x14ac:dyDescent="0.25">
      <c r="B85" s="8">
        <v>43257</v>
      </c>
      <c r="C85" s="8">
        <v>43187</v>
      </c>
      <c r="D85" s="8">
        <v>43205</v>
      </c>
      <c r="E85" t="s">
        <v>23</v>
      </c>
      <c r="F85" t="s">
        <v>35</v>
      </c>
      <c r="G85" t="s">
        <v>141</v>
      </c>
      <c r="H85" s="9">
        <v>1662</v>
      </c>
      <c r="I85">
        <f>IF(TbRegistroEntradas[[#This Row],[Data do Caixa Realizado]]="",0,MONTH(TbRegistroEntradas[[#This Row],[Data do Caixa Realizado]]))</f>
        <v>6</v>
      </c>
      <c r="J85">
        <f>IF(TbRegistroEntradas[[#This Row],[Data do Caixa Realizado]]="",0,YEAR(TbRegistroEntradas[[#This Row],[Data do Caixa Realizado]]))</f>
        <v>2018</v>
      </c>
      <c r="K85">
        <f>IF(TbRegistroEntradas[[#This Row],[Data da Competência]]="",0,MONTH(TbRegistroEntradas[[#This Row],[Data da Competência]]))</f>
        <v>3</v>
      </c>
      <c r="L85">
        <f>IF(TbRegistroEntradas[[#This Row],[Data da Competência]]="",0,YEAR(TbRegistroEntradas[[#This Row],[Data da Competência]]))</f>
        <v>2018</v>
      </c>
      <c r="M85">
        <f>IF(TbRegistroEntradas[[#This Row],[Data do Caixa Previsto]]="",0,MONTH(TbRegistroEntradas[[#This Row],[Data do Caixa Previsto]]))</f>
        <v>4</v>
      </c>
      <c r="N85">
        <f>IF(TbRegistroEntradas[[#This Row],[Data do Caixa Previsto]]="",0,YEAR(TbRegistroEntradas[[#This Row],[Data do Caixa Previsto]]))</f>
        <v>2018</v>
      </c>
      <c r="O85" t="str">
        <f ca="1">IF(AND(TbRegistroEntradas[[#This Row],[Data do Caixa Previsto]]&lt;TODAY(),TbRegistroEntradas[[#This Row],[Data do Caixa Realizado]]=""),"Vencida","Não Vencida")</f>
        <v>Não Vencida</v>
      </c>
      <c r="P85" t="str">
        <f>IF(TbRegistroEntradas[[#This Row],[Data da Competência]]=TbRegistroEntradas[[#This Row],[Data do Caixa Previsto]],"Vista","Prazo")</f>
        <v>Prazo</v>
      </c>
      <c r="Q8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</v>
      </c>
    </row>
    <row r="86" spans="2:17" x14ac:dyDescent="0.25">
      <c r="B86" s="8">
        <v>43214</v>
      </c>
      <c r="C86" s="8">
        <v>43189</v>
      </c>
      <c r="D86" s="8">
        <v>43189</v>
      </c>
      <c r="E86" t="s">
        <v>23</v>
      </c>
      <c r="F86" t="s">
        <v>32</v>
      </c>
      <c r="G86" t="s">
        <v>142</v>
      </c>
      <c r="H86" s="9">
        <v>3241</v>
      </c>
      <c r="I86">
        <f>IF(TbRegistroEntradas[[#This Row],[Data do Caixa Realizado]]="",0,MONTH(TbRegistroEntradas[[#This Row],[Data do Caixa Realizado]]))</f>
        <v>4</v>
      </c>
      <c r="J86">
        <f>IF(TbRegistroEntradas[[#This Row],[Data do Caixa Realizado]]="",0,YEAR(TbRegistroEntradas[[#This Row],[Data do Caixa Realizado]]))</f>
        <v>2018</v>
      </c>
      <c r="K86">
        <f>IF(TbRegistroEntradas[[#This Row],[Data da Competência]]="",0,MONTH(TbRegistroEntradas[[#This Row],[Data da Competência]]))</f>
        <v>3</v>
      </c>
      <c r="L86">
        <f>IF(TbRegistroEntradas[[#This Row],[Data da Competência]]="",0,YEAR(TbRegistroEntradas[[#This Row],[Data da Competência]]))</f>
        <v>2018</v>
      </c>
      <c r="M86">
        <f>IF(TbRegistroEntradas[[#This Row],[Data do Caixa Previsto]]="",0,MONTH(TbRegistroEntradas[[#This Row],[Data do Caixa Previsto]]))</f>
        <v>3</v>
      </c>
      <c r="N86">
        <f>IF(TbRegistroEntradas[[#This Row],[Data do Caixa Previsto]]="",0,YEAR(TbRegistroEntradas[[#This Row],[Data do Caixa Previsto]]))</f>
        <v>2018</v>
      </c>
      <c r="O86" t="str">
        <f ca="1">IF(AND(TbRegistroEntradas[[#This Row],[Data do Caixa Previsto]]&lt;TODAY(),TbRegistroEntradas[[#This Row],[Data do Caixa Realizado]]=""),"Vencida","Não Vencida")</f>
        <v>Não Vencida</v>
      </c>
      <c r="P86" t="str">
        <f>IF(TbRegistroEntradas[[#This Row],[Data da Competência]]=TbRegistroEntradas[[#This Row],[Data do Caixa Previsto]],"Vista","Prazo")</f>
        <v>Vista</v>
      </c>
      <c r="Q8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25</v>
      </c>
    </row>
    <row r="87" spans="2:17" x14ac:dyDescent="0.25">
      <c r="B87" s="8">
        <v>43306</v>
      </c>
      <c r="C87" s="8">
        <v>43190</v>
      </c>
      <c r="D87" s="8">
        <v>43228</v>
      </c>
      <c r="E87" t="s">
        <v>23</v>
      </c>
      <c r="F87" t="s">
        <v>35</v>
      </c>
      <c r="G87" t="s">
        <v>143</v>
      </c>
      <c r="H87" s="9">
        <v>4017</v>
      </c>
      <c r="I87">
        <f>IF(TbRegistroEntradas[[#This Row],[Data do Caixa Realizado]]="",0,MONTH(TbRegistroEntradas[[#This Row],[Data do Caixa Realizado]]))</f>
        <v>7</v>
      </c>
      <c r="J87">
        <f>IF(TbRegistroEntradas[[#This Row],[Data do Caixa Realizado]]="",0,YEAR(TbRegistroEntradas[[#This Row],[Data do Caixa Realizado]]))</f>
        <v>2018</v>
      </c>
      <c r="K87">
        <f>IF(TbRegistroEntradas[[#This Row],[Data da Competência]]="",0,MONTH(TbRegistroEntradas[[#This Row],[Data da Competência]]))</f>
        <v>3</v>
      </c>
      <c r="L87">
        <f>IF(TbRegistroEntradas[[#This Row],[Data da Competência]]="",0,YEAR(TbRegistroEntradas[[#This Row],[Data da Competência]]))</f>
        <v>2018</v>
      </c>
      <c r="M87">
        <f>IF(TbRegistroEntradas[[#This Row],[Data do Caixa Previsto]]="",0,MONTH(TbRegistroEntradas[[#This Row],[Data do Caixa Previsto]]))</f>
        <v>5</v>
      </c>
      <c r="N87">
        <f>IF(TbRegistroEntradas[[#This Row],[Data do Caixa Previsto]]="",0,YEAR(TbRegistroEntradas[[#This Row],[Data do Caixa Previsto]]))</f>
        <v>2018</v>
      </c>
      <c r="O87" t="str">
        <f ca="1">IF(AND(TbRegistroEntradas[[#This Row],[Data do Caixa Previsto]]&lt;TODAY(),TbRegistroEntradas[[#This Row],[Data do Caixa Realizado]]=""),"Vencida","Não Vencida")</f>
        <v>Não Vencida</v>
      </c>
      <c r="P87" t="str">
        <f>IF(TbRegistroEntradas[[#This Row],[Data da Competência]]=TbRegistroEntradas[[#This Row],[Data do Caixa Previsto]],"Vista","Prazo")</f>
        <v>Prazo</v>
      </c>
      <c r="Q8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78</v>
      </c>
    </row>
    <row r="88" spans="2:17" x14ac:dyDescent="0.25">
      <c r="B88" s="8">
        <v>43193</v>
      </c>
      <c r="C88" s="8">
        <v>43193</v>
      </c>
      <c r="D88" s="8">
        <v>43193</v>
      </c>
      <c r="E88" t="s">
        <v>23</v>
      </c>
      <c r="F88" t="s">
        <v>34</v>
      </c>
      <c r="G88" t="s">
        <v>144</v>
      </c>
      <c r="H88" s="9">
        <v>3586</v>
      </c>
      <c r="I88">
        <f>IF(TbRegistroEntradas[[#This Row],[Data do Caixa Realizado]]="",0,MONTH(TbRegistroEntradas[[#This Row],[Data do Caixa Realizado]]))</f>
        <v>4</v>
      </c>
      <c r="J88">
        <f>IF(TbRegistroEntradas[[#This Row],[Data do Caixa Realizado]]="",0,YEAR(TbRegistroEntradas[[#This Row],[Data do Caixa Realizado]]))</f>
        <v>2018</v>
      </c>
      <c r="K88">
        <f>IF(TbRegistroEntradas[[#This Row],[Data da Competência]]="",0,MONTH(TbRegistroEntradas[[#This Row],[Data da Competência]]))</f>
        <v>4</v>
      </c>
      <c r="L88">
        <f>IF(TbRegistroEntradas[[#This Row],[Data da Competência]]="",0,YEAR(TbRegistroEntradas[[#This Row],[Data da Competência]]))</f>
        <v>2018</v>
      </c>
      <c r="M88">
        <f>IF(TbRegistroEntradas[[#This Row],[Data do Caixa Previsto]]="",0,MONTH(TbRegistroEntradas[[#This Row],[Data do Caixa Previsto]]))</f>
        <v>4</v>
      </c>
      <c r="N88">
        <f>IF(TbRegistroEntradas[[#This Row],[Data do Caixa Previsto]]="",0,YEAR(TbRegistroEntradas[[#This Row],[Data do Caixa Previsto]]))</f>
        <v>2018</v>
      </c>
      <c r="O88" t="str">
        <f ca="1">IF(AND(TbRegistroEntradas[[#This Row],[Data do Caixa Previsto]]&lt;TODAY(),TbRegistroEntradas[[#This Row],[Data do Caixa Realizado]]=""),"Vencida","Não Vencida")</f>
        <v>Não Vencida</v>
      </c>
      <c r="P88" t="str">
        <f>IF(TbRegistroEntradas[[#This Row],[Data da Competência]]=TbRegistroEntradas[[#This Row],[Data do Caixa Previsto]],"Vista","Prazo")</f>
        <v>Vista</v>
      </c>
      <c r="Q8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89" spans="2:17" x14ac:dyDescent="0.25">
      <c r="B89" s="8">
        <v>43196</v>
      </c>
      <c r="C89" s="8">
        <v>43196</v>
      </c>
      <c r="D89" s="8">
        <v>43196</v>
      </c>
      <c r="E89" t="s">
        <v>23</v>
      </c>
      <c r="F89" t="s">
        <v>32</v>
      </c>
      <c r="G89" t="s">
        <v>145</v>
      </c>
      <c r="H89" s="9">
        <v>4467</v>
      </c>
      <c r="I89">
        <f>IF(TbRegistroEntradas[[#This Row],[Data do Caixa Realizado]]="",0,MONTH(TbRegistroEntradas[[#This Row],[Data do Caixa Realizado]]))</f>
        <v>4</v>
      </c>
      <c r="J89">
        <f>IF(TbRegistroEntradas[[#This Row],[Data do Caixa Realizado]]="",0,YEAR(TbRegistroEntradas[[#This Row],[Data do Caixa Realizado]]))</f>
        <v>2018</v>
      </c>
      <c r="K89">
        <f>IF(TbRegistroEntradas[[#This Row],[Data da Competência]]="",0,MONTH(TbRegistroEntradas[[#This Row],[Data da Competência]]))</f>
        <v>4</v>
      </c>
      <c r="L89">
        <f>IF(TbRegistroEntradas[[#This Row],[Data da Competência]]="",0,YEAR(TbRegistroEntradas[[#This Row],[Data da Competência]]))</f>
        <v>2018</v>
      </c>
      <c r="M89">
        <f>IF(TbRegistroEntradas[[#This Row],[Data do Caixa Previsto]]="",0,MONTH(TbRegistroEntradas[[#This Row],[Data do Caixa Previsto]]))</f>
        <v>4</v>
      </c>
      <c r="N89">
        <f>IF(TbRegistroEntradas[[#This Row],[Data do Caixa Previsto]]="",0,YEAR(TbRegistroEntradas[[#This Row],[Data do Caixa Previsto]]))</f>
        <v>2018</v>
      </c>
      <c r="O89" t="str">
        <f ca="1">IF(AND(TbRegistroEntradas[[#This Row],[Data do Caixa Previsto]]&lt;TODAY(),TbRegistroEntradas[[#This Row],[Data do Caixa Realizado]]=""),"Vencida","Não Vencida")</f>
        <v>Não Vencida</v>
      </c>
      <c r="P89" t="str">
        <f>IF(TbRegistroEntradas[[#This Row],[Data da Competência]]=TbRegistroEntradas[[#This Row],[Data do Caixa Previsto]],"Vista","Prazo")</f>
        <v>Vista</v>
      </c>
      <c r="Q8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0" spans="2:17" x14ac:dyDescent="0.25">
      <c r="B90" s="8">
        <v>43251</v>
      </c>
      <c r="C90" s="8">
        <v>43199</v>
      </c>
      <c r="D90" s="8">
        <v>43251</v>
      </c>
      <c r="E90" t="s">
        <v>23</v>
      </c>
      <c r="F90" t="s">
        <v>34</v>
      </c>
      <c r="G90" t="s">
        <v>146</v>
      </c>
      <c r="H90" s="9">
        <v>4262</v>
      </c>
      <c r="I90">
        <f>IF(TbRegistroEntradas[[#This Row],[Data do Caixa Realizado]]="",0,MONTH(TbRegistroEntradas[[#This Row],[Data do Caixa Realizado]]))</f>
        <v>5</v>
      </c>
      <c r="J90">
        <f>IF(TbRegistroEntradas[[#This Row],[Data do Caixa Realizado]]="",0,YEAR(TbRegistroEntradas[[#This Row],[Data do Caixa Realizado]]))</f>
        <v>2018</v>
      </c>
      <c r="K90">
        <f>IF(TbRegistroEntradas[[#This Row],[Data da Competência]]="",0,MONTH(TbRegistroEntradas[[#This Row],[Data da Competência]]))</f>
        <v>4</v>
      </c>
      <c r="L90">
        <f>IF(TbRegistroEntradas[[#This Row],[Data da Competência]]="",0,YEAR(TbRegistroEntradas[[#This Row],[Data da Competência]]))</f>
        <v>2018</v>
      </c>
      <c r="M90">
        <f>IF(TbRegistroEntradas[[#This Row],[Data do Caixa Previsto]]="",0,MONTH(TbRegistroEntradas[[#This Row],[Data do Caixa Previsto]]))</f>
        <v>5</v>
      </c>
      <c r="N90">
        <f>IF(TbRegistroEntradas[[#This Row],[Data do Caixa Previsto]]="",0,YEAR(TbRegistroEntradas[[#This Row],[Data do Caixa Previsto]]))</f>
        <v>2018</v>
      </c>
      <c r="O90" t="str">
        <f ca="1">IF(AND(TbRegistroEntradas[[#This Row],[Data do Caixa Previsto]]&lt;TODAY(),TbRegistroEntradas[[#This Row],[Data do Caixa Realizado]]=""),"Vencida","Não Vencida")</f>
        <v>Não Vencida</v>
      </c>
      <c r="P90" t="str">
        <f>IF(TbRegistroEntradas[[#This Row],[Data da Competência]]=TbRegistroEntradas[[#This Row],[Data do Caixa Previsto]],"Vista","Prazo")</f>
        <v>Prazo</v>
      </c>
      <c r="Q9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1" spans="2:17" x14ac:dyDescent="0.25">
      <c r="B91" s="8" t="s">
        <v>68</v>
      </c>
      <c r="C91" s="8">
        <v>43201</v>
      </c>
      <c r="D91" s="8">
        <v>43260</v>
      </c>
      <c r="E91" t="s">
        <v>23</v>
      </c>
      <c r="F91" t="s">
        <v>34</v>
      </c>
      <c r="G91" t="s">
        <v>147</v>
      </c>
      <c r="H91" s="9">
        <v>2593</v>
      </c>
      <c r="I91">
        <f>IF(TbRegistroEntradas[[#This Row],[Data do Caixa Realizado]]="",0,MONTH(TbRegistroEntradas[[#This Row],[Data do Caixa Realizado]]))</f>
        <v>0</v>
      </c>
      <c r="J91">
        <f>IF(TbRegistroEntradas[[#This Row],[Data do Caixa Realizado]]="",0,YEAR(TbRegistroEntradas[[#This Row],[Data do Caixa Realizado]]))</f>
        <v>0</v>
      </c>
      <c r="K91">
        <f>IF(TbRegistroEntradas[[#This Row],[Data da Competência]]="",0,MONTH(TbRegistroEntradas[[#This Row],[Data da Competência]]))</f>
        <v>4</v>
      </c>
      <c r="L91">
        <f>IF(TbRegistroEntradas[[#This Row],[Data da Competência]]="",0,YEAR(TbRegistroEntradas[[#This Row],[Data da Competência]]))</f>
        <v>2018</v>
      </c>
      <c r="M91">
        <f>IF(TbRegistroEntradas[[#This Row],[Data do Caixa Previsto]]="",0,MONTH(TbRegistroEntradas[[#This Row],[Data do Caixa Previsto]]))</f>
        <v>6</v>
      </c>
      <c r="N91">
        <f>IF(TbRegistroEntradas[[#This Row],[Data do Caixa Previsto]]="",0,YEAR(TbRegistroEntradas[[#This Row],[Data do Caixa Previsto]]))</f>
        <v>2018</v>
      </c>
      <c r="O91" t="str">
        <f ca="1">IF(AND(TbRegistroEntradas[[#This Row],[Data do Caixa Previsto]]&lt;TODAY(),TbRegistroEntradas[[#This Row],[Data do Caixa Realizado]]=""),"Vencida","Não Vencida")</f>
        <v>Vencida</v>
      </c>
      <c r="P91" t="str">
        <f>IF(TbRegistroEntradas[[#This Row],[Data da Competência]]=TbRegistroEntradas[[#This Row],[Data do Caixa Previsto]],"Vista","Prazo")</f>
        <v>Prazo</v>
      </c>
      <c r="Q9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1655</v>
      </c>
    </row>
    <row r="92" spans="2:17" x14ac:dyDescent="0.25">
      <c r="B92" s="8">
        <v>43224</v>
      </c>
      <c r="C92" s="8">
        <v>43204</v>
      </c>
      <c r="D92" s="8">
        <v>43224</v>
      </c>
      <c r="E92" t="s">
        <v>23</v>
      </c>
      <c r="F92" t="s">
        <v>34</v>
      </c>
      <c r="G92" t="s">
        <v>148</v>
      </c>
      <c r="H92" s="9">
        <v>1885</v>
      </c>
      <c r="I92">
        <f>IF(TbRegistroEntradas[[#This Row],[Data do Caixa Realizado]]="",0,MONTH(TbRegistroEntradas[[#This Row],[Data do Caixa Realizado]]))</f>
        <v>5</v>
      </c>
      <c r="J92">
        <f>IF(TbRegistroEntradas[[#This Row],[Data do Caixa Realizado]]="",0,YEAR(TbRegistroEntradas[[#This Row],[Data do Caixa Realizado]]))</f>
        <v>2018</v>
      </c>
      <c r="K92">
        <f>IF(TbRegistroEntradas[[#This Row],[Data da Competência]]="",0,MONTH(TbRegistroEntradas[[#This Row],[Data da Competência]]))</f>
        <v>4</v>
      </c>
      <c r="L92">
        <f>IF(TbRegistroEntradas[[#This Row],[Data da Competência]]="",0,YEAR(TbRegistroEntradas[[#This Row],[Data da Competência]]))</f>
        <v>2018</v>
      </c>
      <c r="M92">
        <f>IF(TbRegistroEntradas[[#This Row],[Data do Caixa Previsto]]="",0,MONTH(TbRegistroEntradas[[#This Row],[Data do Caixa Previsto]]))</f>
        <v>5</v>
      </c>
      <c r="N92">
        <f>IF(TbRegistroEntradas[[#This Row],[Data do Caixa Previsto]]="",0,YEAR(TbRegistroEntradas[[#This Row],[Data do Caixa Previsto]]))</f>
        <v>2018</v>
      </c>
      <c r="O92" t="str">
        <f ca="1">IF(AND(TbRegistroEntradas[[#This Row],[Data do Caixa Previsto]]&lt;TODAY(),TbRegistroEntradas[[#This Row],[Data do Caixa Realizado]]=""),"Vencida","Não Vencida")</f>
        <v>Não Vencida</v>
      </c>
      <c r="P92" t="str">
        <f>IF(TbRegistroEntradas[[#This Row],[Data da Competência]]=TbRegistroEntradas[[#This Row],[Data do Caixa Previsto]],"Vista","Prazo")</f>
        <v>Prazo</v>
      </c>
      <c r="Q9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3" spans="2:17" x14ac:dyDescent="0.25">
      <c r="B93" s="8">
        <v>43295</v>
      </c>
      <c r="C93" s="8">
        <v>43209</v>
      </c>
      <c r="D93" s="8">
        <v>43209</v>
      </c>
      <c r="E93" t="s">
        <v>23</v>
      </c>
      <c r="F93" t="s">
        <v>34</v>
      </c>
      <c r="G93" t="s">
        <v>149</v>
      </c>
      <c r="H93" s="9">
        <v>2224</v>
      </c>
      <c r="I93">
        <f>IF(TbRegistroEntradas[[#This Row],[Data do Caixa Realizado]]="",0,MONTH(TbRegistroEntradas[[#This Row],[Data do Caixa Realizado]]))</f>
        <v>7</v>
      </c>
      <c r="J93">
        <f>IF(TbRegistroEntradas[[#This Row],[Data do Caixa Realizado]]="",0,YEAR(TbRegistroEntradas[[#This Row],[Data do Caixa Realizado]]))</f>
        <v>2018</v>
      </c>
      <c r="K93">
        <f>IF(TbRegistroEntradas[[#This Row],[Data da Competência]]="",0,MONTH(TbRegistroEntradas[[#This Row],[Data da Competência]]))</f>
        <v>4</v>
      </c>
      <c r="L93">
        <f>IF(TbRegistroEntradas[[#This Row],[Data da Competência]]="",0,YEAR(TbRegistroEntradas[[#This Row],[Data da Competência]]))</f>
        <v>2018</v>
      </c>
      <c r="M93">
        <f>IF(TbRegistroEntradas[[#This Row],[Data do Caixa Previsto]]="",0,MONTH(TbRegistroEntradas[[#This Row],[Data do Caixa Previsto]]))</f>
        <v>4</v>
      </c>
      <c r="N93">
        <f>IF(TbRegistroEntradas[[#This Row],[Data do Caixa Previsto]]="",0,YEAR(TbRegistroEntradas[[#This Row],[Data do Caixa Previsto]]))</f>
        <v>2018</v>
      </c>
      <c r="O93" t="str">
        <f ca="1">IF(AND(TbRegistroEntradas[[#This Row],[Data do Caixa Previsto]]&lt;TODAY(),TbRegistroEntradas[[#This Row],[Data do Caixa Realizado]]=""),"Vencida","Não Vencida")</f>
        <v>Não Vencida</v>
      </c>
      <c r="P93" t="str">
        <f>IF(TbRegistroEntradas[[#This Row],[Data da Competência]]=TbRegistroEntradas[[#This Row],[Data do Caixa Previsto]],"Vista","Prazo")</f>
        <v>Vista</v>
      </c>
      <c r="Q9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86</v>
      </c>
    </row>
    <row r="94" spans="2:17" x14ac:dyDescent="0.25">
      <c r="B94" s="8">
        <v>43234</v>
      </c>
      <c r="C94" s="8">
        <v>43213</v>
      </c>
      <c r="D94" s="8">
        <v>43234</v>
      </c>
      <c r="E94" t="s">
        <v>23</v>
      </c>
      <c r="F94" t="s">
        <v>34</v>
      </c>
      <c r="G94" t="s">
        <v>150</v>
      </c>
      <c r="H94" s="9">
        <v>3223</v>
      </c>
      <c r="I94">
        <f>IF(TbRegistroEntradas[[#This Row],[Data do Caixa Realizado]]="",0,MONTH(TbRegistroEntradas[[#This Row],[Data do Caixa Realizado]]))</f>
        <v>5</v>
      </c>
      <c r="J94">
        <f>IF(TbRegistroEntradas[[#This Row],[Data do Caixa Realizado]]="",0,YEAR(TbRegistroEntradas[[#This Row],[Data do Caixa Realizado]]))</f>
        <v>2018</v>
      </c>
      <c r="K94">
        <f>IF(TbRegistroEntradas[[#This Row],[Data da Competência]]="",0,MONTH(TbRegistroEntradas[[#This Row],[Data da Competência]]))</f>
        <v>4</v>
      </c>
      <c r="L94">
        <f>IF(TbRegistroEntradas[[#This Row],[Data da Competência]]="",0,YEAR(TbRegistroEntradas[[#This Row],[Data da Competência]]))</f>
        <v>2018</v>
      </c>
      <c r="M94">
        <f>IF(TbRegistroEntradas[[#This Row],[Data do Caixa Previsto]]="",0,MONTH(TbRegistroEntradas[[#This Row],[Data do Caixa Previsto]]))</f>
        <v>5</v>
      </c>
      <c r="N94">
        <f>IF(TbRegistroEntradas[[#This Row],[Data do Caixa Previsto]]="",0,YEAR(TbRegistroEntradas[[#This Row],[Data do Caixa Previsto]]))</f>
        <v>2018</v>
      </c>
      <c r="O94" t="str">
        <f ca="1">IF(AND(TbRegistroEntradas[[#This Row],[Data do Caixa Previsto]]&lt;TODAY(),TbRegistroEntradas[[#This Row],[Data do Caixa Realizado]]=""),"Vencida","Não Vencida")</f>
        <v>Não Vencida</v>
      </c>
      <c r="P94" t="str">
        <f>IF(TbRegistroEntradas[[#This Row],[Data da Competência]]=TbRegistroEntradas[[#This Row],[Data do Caixa Previsto]],"Vista","Prazo")</f>
        <v>Prazo</v>
      </c>
      <c r="Q9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5" spans="2:17" x14ac:dyDescent="0.25">
      <c r="B95" s="8">
        <v>43216</v>
      </c>
      <c r="C95" s="8">
        <v>43216</v>
      </c>
      <c r="D95" s="8">
        <v>43216</v>
      </c>
      <c r="E95" t="s">
        <v>23</v>
      </c>
      <c r="F95" t="s">
        <v>33</v>
      </c>
      <c r="G95" t="s">
        <v>151</v>
      </c>
      <c r="H95" s="9">
        <v>3446</v>
      </c>
      <c r="I95">
        <f>IF(TbRegistroEntradas[[#This Row],[Data do Caixa Realizado]]="",0,MONTH(TbRegistroEntradas[[#This Row],[Data do Caixa Realizado]]))</f>
        <v>4</v>
      </c>
      <c r="J95">
        <f>IF(TbRegistroEntradas[[#This Row],[Data do Caixa Realizado]]="",0,YEAR(TbRegistroEntradas[[#This Row],[Data do Caixa Realizado]]))</f>
        <v>2018</v>
      </c>
      <c r="K95">
        <f>IF(TbRegistroEntradas[[#This Row],[Data da Competência]]="",0,MONTH(TbRegistroEntradas[[#This Row],[Data da Competência]]))</f>
        <v>4</v>
      </c>
      <c r="L95">
        <f>IF(TbRegistroEntradas[[#This Row],[Data da Competência]]="",0,YEAR(TbRegistroEntradas[[#This Row],[Data da Competência]]))</f>
        <v>2018</v>
      </c>
      <c r="M95">
        <f>IF(TbRegistroEntradas[[#This Row],[Data do Caixa Previsto]]="",0,MONTH(TbRegistroEntradas[[#This Row],[Data do Caixa Previsto]]))</f>
        <v>4</v>
      </c>
      <c r="N95">
        <f>IF(TbRegistroEntradas[[#This Row],[Data do Caixa Previsto]]="",0,YEAR(TbRegistroEntradas[[#This Row],[Data do Caixa Previsto]]))</f>
        <v>2018</v>
      </c>
      <c r="O95" t="str">
        <f ca="1">IF(AND(TbRegistroEntradas[[#This Row],[Data do Caixa Previsto]]&lt;TODAY(),TbRegistroEntradas[[#This Row],[Data do Caixa Realizado]]=""),"Vencida","Não Vencida")</f>
        <v>Não Vencida</v>
      </c>
      <c r="P95" t="str">
        <f>IF(TbRegistroEntradas[[#This Row],[Data da Competência]]=TbRegistroEntradas[[#This Row],[Data do Caixa Previsto]],"Vista","Prazo")</f>
        <v>Vista</v>
      </c>
      <c r="Q9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6" spans="2:17" x14ac:dyDescent="0.25">
      <c r="B96" s="8">
        <v>43226</v>
      </c>
      <c r="C96" s="8">
        <v>43220</v>
      </c>
      <c r="D96" s="8">
        <v>43220</v>
      </c>
      <c r="E96" t="s">
        <v>23</v>
      </c>
      <c r="F96" t="s">
        <v>34</v>
      </c>
      <c r="G96" t="s">
        <v>152</v>
      </c>
      <c r="H96" s="9">
        <v>4540</v>
      </c>
      <c r="I96">
        <f>IF(TbRegistroEntradas[[#This Row],[Data do Caixa Realizado]]="",0,MONTH(TbRegistroEntradas[[#This Row],[Data do Caixa Realizado]]))</f>
        <v>5</v>
      </c>
      <c r="J96">
        <f>IF(TbRegistroEntradas[[#This Row],[Data do Caixa Realizado]]="",0,YEAR(TbRegistroEntradas[[#This Row],[Data do Caixa Realizado]]))</f>
        <v>2018</v>
      </c>
      <c r="K96">
        <f>IF(TbRegistroEntradas[[#This Row],[Data da Competência]]="",0,MONTH(TbRegistroEntradas[[#This Row],[Data da Competência]]))</f>
        <v>4</v>
      </c>
      <c r="L96">
        <f>IF(TbRegistroEntradas[[#This Row],[Data da Competência]]="",0,YEAR(TbRegistroEntradas[[#This Row],[Data da Competência]]))</f>
        <v>2018</v>
      </c>
      <c r="M96">
        <f>IF(TbRegistroEntradas[[#This Row],[Data do Caixa Previsto]]="",0,MONTH(TbRegistroEntradas[[#This Row],[Data do Caixa Previsto]]))</f>
        <v>4</v>
      </c>
      <c r="N96">
        <f>IF(TbRegistroEntradas[[#This Row],[Data do Caixa Previsto]]="",0,YEAR(TbRegistroEntradas[[#This Row],[Data do Caixa Previsto]]))</f>
        <v>2018</v>
      </c>
      <c r="O96" t="str">
        <f ca="1">IF(AND(TbRegistroEntradas[[#This Row],[Data do Caixa Previsto]]&lt;TODAY(),TbRegistroEntradas[[#This Row],[Data do Caixa Realizado]]=""),"Vencida","Não Vencida")</f>
        <v>Não Vencida</v>
      </c>
      <c r="P96" t="str">
        <f>IF(TbRegistroEntradas[[#This Row],[Data da Competência]]=TbRegistroEntradas[[#This Row],[Data do Caixa Previsto]],"Vista","Prazo")</f>
        <v>Vista</v>
      </c>
      <c r="Q9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6</v>
      </c>
    </row>
    <row r="97" spans="2:17" x14ac:dyDescent="0.25">
      <c r="B97" s="8">
        <v>43283</v>
      </c>
      <c r="C97" s="8">
        <v>43228</v>
      </c>
      <c r="D97" s="8">
        <v>43283</v>
      </c>
      <c r="E97" t="s">
        <v>23</v>
      </c>
      <c r="F97" t="s">
        <v>35</v>
      </c>
      <c r="G97" t="s">
        <v>153</v>
      </c>
      <c r="H97" s="9">
        <v>3862</v>
      </c>
      <c r="I97">
        <f>IF(TbRegistroEntradas[[#This Row],[Data do Caixa Realizado]]="",0,MONTH(TbRegistroEntradas[[#This Row],[Data do Caixa Realizado]]))</f>
        <v>7</v>
      </c>
      <c r="J97">
        <f>IF(TbRegistroEntradas[[#This Row],[Data do Caixa Realizado]]="",0,YEAR(TbRegistroEntradas[[#This Row],[Data do Caixa Realizado]]))</f>
        <v>2018</v>
      </c>
      <c r="K97">
        <f>IF(TbRegistroEntradas[[#This Row],[Data da Competência]]="",0,MONTH(TbRegistroEntradas[[#This Row],[Data da Competência]]))</f>
        <v>5</v>
      </c>
      <c r="L97">
        <f>IF(TbRegistroEntradas[[#This Row],[Data da Competência]]="",0,YEAR(TbRegistroEntradas[[#This Row],[Data da Competência]]))</f>
        <v>2018</v>
      </c>
      <c r="M97">
        <f>IF(TbRegistroEntradas[[#This Row],[Data do Caixa Previsto]]="",0,MONTH(TbRegistroEntradas[[#This Row],[Data do Caixa Previsto]]))</f>
        <v>7</v>
      </c>
      <c r="N97">
        <f>IF(TbRegistroEntradas[[#This Row],[Data do Caixa Previsto]]="",0,YEAR(TbRegistroEntradas[[#This Row],[Data do Caixa Previsto]]))</f>
        <v>2018</v>
      </c>
      <c r="O97" t="str">
        <f ca="1">IF(AND(TbRegistroEntradas[[#This Row],[Data do Caixa Previsto]]&lt;TODAY(),TbRegistroEntradas[[#This Row],[Data do Caixa Realizado]]=""),"Vencida","Não Vencida")</f>
        <v>Não Vencida</v>
      </c>
      <c r="P97" t="str">
        <f>IF(TbRegistroEntradas[[#This Row],[Data da Competência]]=TbRegistroEntradas[[#This Row],[Data do Caixa Previsto]],"Vista","Prazo")</f>
        <v>Prazo</v>
      </c>
      <c r="Q9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98" spans="2:17" x14ac:dyDescent="0.25">
      <c r="B98" s="8">
        <v>43311</v>
      </c>
      <c r="C98" s="8">
        <v>43231</v>
      </c>
      <c r="D98" s="8">
        <v>43279</v>
      </c>
      <c r="E98" t="s">
        <v>23</v>
      </c>
      <c r="F98" t="s">
        <v>33</v>
      </c>
      <c r="G98" t="s">
        <v>154</v>
      </c>
      <c r="H98" s="9">
        <v>611</v>
      </c>
      <c r="I98">
        <f>IF(TbRegistroEntradas[[#This Row],[Data do Caixa Realizado]]="",0,MONTH(TbRegistroEntradas[[#This Row],[Data do Caixa Realizado]]))</f>
        <v>7</v>
      </c>
      <c r="J98">
        <f>IF(TbRegistroEntradas[[#This Row],[Data do Caixa Realizado]]="",0,YEAR(TbRegistroEntradas[[#This Row],[Data do Caixa Realizado]]))</f>
        <v>2018</v>
      </c>
      <c r="K98">
        <f>IF(TbRegistroEntradas[[#This Row],[Data da Competência]]="",0,MONTH(TbRegistroEntradas[[#This Row],[Data da Competência]]))</f>
        <v>5</v>
      </c>
      <c r="L98">
        <f>IF(TbRegistroEntradas[[#This Row],[Data da Competência]]="",0,YEAR(TbRegistroEntradas[[#This Row],[Data da Competência]]))</f>
        <v>2018</v>
      </c>
      <c r="M98">
        <f>IF(TbRegistroEntradas[[#This Row],[Data do Caixa Previsto]]="",0,MONTH(TbRegistroEntradas[[#This Row],[Data do Caixa Previsto]]))</f>
        <v>6</v>
      </c>
      <c r="N98">
        <f>IF(TbRegistroEntradas[[#This Row],[Data do Caixa Previsto]]="",0,YEAR(TbRegistroEntradas[[#This Row],[Data do Caixa Previsto]]))</f>
        <v>2018</v>
      </c>
      <c r="O98" t="str">
        <f ca="1">IF(AND(TbRegistroEntradas[[#This Row],[Data do Caixa Previsto]]&lt;TODAY(),TbRegistroEntradas[[#This Row],[Data do Caixa Realizado]]=""),"Vencida","Não Vencida")</f>
        <v>Não Vencida</v>
      </c>
      <c r="P98" t="str">
        <f>IF(TbRegistroEntradas[[#This Row],[Data da Competência]]=TbRegistroEntradas[[#This Row],[Data do Caixa Previsto]],"Vista","Prazo")</f>
        <v>Prazo</v>
      </c>
      <c r="Q9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32</v>
      </c>
    </row>
    <row r="99" spans="2:17" x14ac:dyDescent="0.25">
      <c r="B99" s="8">
        <v>43233</v>
      </c>
      <c r="C99" s="8">
        <v>43233</v>
      </c>
      <c r="D99" s="8">
        <v>43233</v>
      </c>
      <c r="E99" t="s">
        <v>23</v>
      </c>
      <c r="F99" t="s">
        <v>31</v>
      </c>
      <c r="G99" t="s">
        <v>155</v>
      </c>
      <c r="H99" s="9">
        <v>1486</v>
      </c>
      <c r="I99">
        <f>IF(TbRegistroEntradas[[#This Row],[Data do Caixa Realizado]]="",0,MONTH(TbRegistroEntradas[[#This Row],[Data do Caixa Realizado]]))</f>
        <v>5</v>
      </c>
      <c r="J99">
        <f>IF(TbRegistroEntradas[[#This Row],[Data do Caixa Realizado]]="",0,YEAR(TbRegistroEntradas[[#This Row],[Data do Caixa Realizado]]))</f>
        <v>2018</v>
      </c>
      <c r="K99">
        <f>IF(TbRegistroEntradas[[#This Row],[Data da Competência]]="",0,MONTH(TbRegistroEntradas[[#This Row],[Data da Competência]]))</f>
        <v>5</v>
      </c>
      <c r="L99">
        <f>IF(TbRegistroEntradas[[#This Row],[Data da Competência]]="",0,YEAR(TbRegistroEntradas[[#This Row],[Data da Competência]]))</f>
        <v>2018</v>
      </c>
      <c r="M99">
        <f>IF(TbRegistroEntradas[[#This Row],[Data do Caixa Previsto]]="",0,MONTH(TbRegistroEntradas[[#This Row],[Data do Caixa Previsto]]))</f>
        <v>5</v>
      </c>
      <c r="N99">
        <f>IF(TbRegistroEntradas[[#This Row],[Data do Caixa Previsto]]="",0,YEAR(TbRegistroEntradas[[#This Row],[Data do Caixa Previsto]]))</f>
        <v>2018</v>
      </c>
      <c r="O99" t="str">
        <f ca="1">IF(AND(TbRegistroEntradas[[#This Row],[Data do Caixa Previsto]]&lt;TODAY(),TbRegistroEntradas[[#This Row],[Data do Caixa Realizado]]=""),"Vencida","Não Vencida")</f>
        <v>Não Vencida</v>
      </c>
      <c r="P99" t="str">
        <f>IF(TbRegistroEntradas[[#This Row],[Data da Competência]]=TbRegistroEntradas[[#This Row],[Data do Caixa Previsto]],"Vista","Prazo")</f>
        <v>Vista</v>
      </c>
      <c r="Q9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0" spans="2:17" x14ac:dyDescent="0.25">
      <c r="B100" s="8">
        <v>43252</v>
      </c>
      <c r="C100" s="8">
        <v>43241</v>
      </c>
      <c r="D100" s="8">
        <v>43252</v>
      </c>
      <c r="E100" t="s">
        <v>23</v>
      </c>
      <c r="F100" t="s">
        <v>34</v>
      </c>
      <c r="G100" t="s">
        <v>156</v>
      </c>
      <c r="H100" s="9">
        <v>4850</v>
      </c>
      <c r="I100">
        <f>IF(TbRegistroEntradas[[#This Row],[Data do Caixa Realizado]]="",0,MONTH(TbRegistroEntradas[[#This Row],[Data do Caixa Realizado]]))</f>
        <v>6</v>
      </c>
      <c r="J100">
        <f>IF(TbRegistroEntradas[[#This Row],[Data do Caixa Realizado]]="",0,YEAR(TbRegistroEntradas[[#This Row],[Data do Caixa Realizado]]))</f>
        <v>2018</v>
      </c>
      <c r="K100">
        <f>IF(TbRegistroEntradas[[#This Row],[Data da Competência]]="",0,MONTH(TbRegistroEntradas[[#This Row],[Data da Competência]]))</f>
        <v>5</v>
      </c>
      <c r="L100">
        <f>IF(TbRegistroEntradas[[#This Row],[Data da Competência]]="",0,YEAR(TbRegistroEntradas[[#This Row],[Data da Competência]]))</f>
        <v>2018</v>
      </c>
      <c r="M100">
        <f>IF(TbRegistroEntradas[[#This Row],[Data do Caixa Previsto]]="",0,MONTH(TbRegistroEntradas[[#This Row],[Data do Caixa Previsto]]))</f>
        <v>6</v>
      </c>
      <c r="N100">
        <f>IF(TbRegistroEntradas[[#This Row],[Data do Caixa Previsto]]="",0,YEAR(TbRegistroEntradas[[#This Row],[Data do Caixa Previsto]]))</f>
        <v>2018</v>
      </c>
      <c r="O100" t="str">
        <f ca="1">IF(AND(TbRegistroEntradas[[#This Row],[Data do Caixa Previsto]]&lt;TODAY(),TbRegistroEntradas[[#This Row],[Data do Caixa Realizado]]=""),"Vencida","Não Vencida")</f>
        <v>Não Vencida</v>
      </c>
      <c r="P100" t="str">
        <f>IF(TbRegistroEntradas[[#This Row],[Data da Competência]]=TbRegistroEntradas[[#This Row],[Data do Caixa Previsto]],"Vista","Prazo")</f>
        <v>Prazo</v>
      </c>
      <c r="Q10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1" spans="2:17" x14ac:dyDescent="0.25">
      <c r="B101" s="8">
        <v>43275</v>
      </c>
      <c r="C101" s="8">
        <v>43244</v>
      </c>
      <c r="D101" s="8">
        <v>43275</v>
      </c>
      <c r="E101" t="s">
        <v>23</v>
      </c>
      <c r="F101" t="s">
        <v>31</v>
      </c>
      <c r="G101" t="s">
        <v>95</v>
      </c>
      <c r="H101" s="9">
        <v>3878</v>
      </c>
      <c r="I101">
        <f>IF(TbRegistroEntradas[[#This Row],[Data do Caixa Realizado]]="",0,MONTH(TbRegistroEntradas[[#This Row],[Data do Caixa Realizado]]))</f>
        <v>6</v>
      </c>
      <c r="J101">
        <f>IF(TbRegistroEntradas[[#This Row],[Data do Caixa Realizado]]="",0,YEAR(TbRegistroEntradas[[#This Row],[Data do Caixa Realizado]]))</f>
        <v>2018</v>
      </c>
      <c r="K101">
        <f>IF(TbRegistroEntradas[[#This Row],[Data da Competência]]="",0,MONTH(TbRegistroEntradas[[#This Row],[Data da Competência]]))</f>
        <v>5</v>
      </c>
      <c r="L101">
        <f>IF(TbRegistroEntradas[[#This Row],[Data da Competência]]="",0,YEAR(TbRegistroEntradas[[#This Row],[Data da Competência]]))</f>
        <v>2018</v>
      </c>
      <c r="M101">
        <f>IF(TbRegistroEntradas[[#This Row],[Data do Caixa Previsto]]="",0,MONTH(TbRegistroEntradas[[#This Row],[Data do Caixa Previsto]]))</f>
        <v>6</v>
      </c>
      <c r="N101">
        <f>IF(TbRegistroEntradas[[#This Row],[Data do Caixa Previsto]]="",0,YEAR(TbRegistroEntradas[[#This Row],[Data do Caixa Previsto]]))</f>
        <v>2018</v>
      </c>
      <c r="O101" t="str">
        <f ca="1">IF(AND(TbRegistroEntradas[[#This Row],[Data do Caixa Previsto]]&lt;TODAY(),TbRegistroEntradas[[#This Row],[Data do Caixa Realizado]]=""),"Vencida","Não Vencida")</f>
        <v>Não Vencida</v>
      </c>
      <c r="P101" t="str">
        <f>IF(TbRegistroEntradas[[#This Row],[Data da Competência]]=TbRegistroEntradas[[#This Row],[Data do Caixa Previsto]],"Vista","Prazo")</f>
        <v>Prazo</v>
      </c>
      <c r="Q10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2" spans="2:17" x14ac:dyDescent="0.25">
      <c r="B102" s="8">
        <v>43275</v>
      </c>
      <c r="C102" s="8">
        <v>43249</v>
      </c>
      <c r="D102" s="8">
        <v>43275</v>
      </c>
      <c r="E102" t="s">
        <v>23</v>
      </c>
      <c r="F102" t="s">
        <v>31</v>
      </c>
      <c r="G102" t="s">
        <v>157</v>
      </c>
      <c r="H102" s="9">
        <v>976</v>
      </c>
      <c r="I102">
        <f>IF(TbRegistroEntradas[[#This Row],[Data do Caixa Realizado]]="",0,MONTH(TbRegistroEntradas[[#This Row],[Data do Caixa Realizado]]))</f>
        <v>6</v>
      </c>
      <c r="J102">
        <f>IF(TbRegistroEntradas[[#This Row],[Data do Caixa Realizado]]="",0,YEAR(TbRegistroEntradas[[#This Row],[Data do Caixa Realizado]]))</f>
        <v>2018</v>
      </c>
      <c r="K102">
        <f>IF(TbRegistroEntradas[[#This Row],[Data da Competência]]="",0,MONTH(TbRegistroEntradas[[#This Row],[Data da Competência]]))</f>
        <v>5</v>
      </c>
      <c r="L102">
        <f>IF(TbRegistroEntradas[[#This Row],[Data da Competência]]="",0,YEAR(TbRegistroEntradas[[#This Row],[Data da Competência]]))</f>
        <v>2018</v>
      </c>
      <c r="M102">
        <f>IF(TbRegistroEntradas[[#This Row],[Data do Caixa Previsto]]="",0,MONTH(TbRegistroEntradas[[#This Row],[Data do Caixa Previsto]]))</f>
        <v>6</v>
      </c>
      <c r="N102">
        <f>IF(TbRegistroEntradas[[#This Row],[Data do Caixa Previsto]]="",0,YEAR(TbRegistroEntradas[[#This Row],[Data do Caixa Previsto]]))</f>
        <v>2018</v>
      </c>
      <c r="O102" t="str">
        <f ca="1">IF(AND(TbRegistroEntradas[[#This Row],[Data do Caixa Previsto]]&lt;TODAY(),TbRegistroEntradas[[#This Row],[Data do Caixa Realizado]]=""),"Vencida","Não Vencida")</f>
        <v>Não Vencida</v>
      </c>
      <c r="P102" t="str">
        <f>IF(TbRegistroEntradas[[#This Row],[Data da Competência]]=TbRegistroEntradas[[#This Row],[Data do Caixa Previsto]],"Vista","Prazo")</f>
        <v>Prazo</v>
      </c>
      <c r="Q10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3" spans="2:17" x14ac:dyDescent="0.25">
      <c r="B103" s="8">
        <v>43265</v>
      </c>
      <c r="C103" s="8">
        <v>43250</v>
      </c>
      <c r="D103" s="8">
        <v>43265</v>
      </c>
      <c r="E103" t="s">
        <v>23</v>
      </c>
      <c r="F103" t="s">
        <v>35</v>
      </c>
      <c r="G103" t="s">
        <v>158</v>
      </c>
      <c r="H103" s="9">
        <v>3346</v>
      </c>
      <c r="I103">
        <f>IF(TbRegistroEntradas[[#This Row],[Data do Caixa Realizado]]="",0,MONTH(TbRegistroEntradas[[#This Row],[Data do Caixa Realizado]]))</f>
        <v>6</v>
      </c>
      <c r="J103">
        <f>IF(TbRegistroEntradas[[#This Row],[Data do Caixa Realizado]]="",0,YEAR(TbRegistroEntradas[[#This Row],[Data do Caixa Realizado]]))</f>
        <v>2018</v>
      </c>
      <c r="K103">
        <f>IF(TbRegistroEntradas[[#This Row],[Data da Competência]]="",0,MONTH(TbRegistroEntradas[[#This Row],[Data da Competência]]))</f>
        <v>5</v>
      </c>
      <c r="L103">
        <f>IF(TbRegistroEntradas[[#This Row],[Data da Competência]]="",0,YEAR(TbRegistroEntradas[[#This Row],[Data da Competência]]))</f>
        <v>2018</v>
      </c>
      <c r="M103">
        <f>IF(TbRegistroEntradas[[#This Row],[Data do Caixa Previsto]]="",0,MONTH(TbRegistroEntradas[[#This Row],[Data do Caixa Previsto]]))</f>
        <v>6</v>
      </c>
      <c r="N103">
        <f>IF(TbRegistroEntradas[[#This Row],[Data do Caixa Previsto]]="",0,YEAR(TbRegistroEntradas[[#This Row],[Data do Caixa Previsto]]))</f>
        <v>2018</v>
      </c>
      <c r="O103" t="str">
        <f ca="1">IF(AND(TbRegistroEntradas[[#This Row],[Data do Caixa Previsto]]&lt;TODAY(),TbRegistroEntradas[[#This Row],[Data do Caixa Realizado]]=""),"Vencida","Não Vencida")</f>
        <v>Não Vencida</v>
      </c>
      <c r="P103" t="str">
        <f>IF(TbRegistroEntradas[[#This Row],[Data da Competência]]=TbRegistroEntradas[[#This Row],[Data do Caixa Previsto]],"Vista","Prazo")</f>
        <v>Prazo</v>
      </c>
      <c r="Q10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4" spans="2:17" x14ac:dyDescent="0.25">
      <c r="B104" s="8">
        <v>43340</v>
      </c>
      <c r="C104" s="8">
        <v>43254</v>
      </c>
      <c r="D104" s="8">
        <v>43313</v>
      </c>
      <c r="E104" t="s">
        <v>23</v>
      </c>
      <c r="F104" t="s">
        <v>33</v>
      </c>
      <c r="G104" t="s">
        <v>159</v>
      </c>
      <c r="H104" s="9">
        <v>443</v>
      </c>
      <c r="I104">
        <f>IF(TbRegistroEntradas[[#This Row],[Data do Caixa Realizado]]="",0,MONTH(TbRegistroEntradas[[#This Row],[Data do Caixa Realizado]]))</f>
        <v>8</v>
      </c>
      <c r="J104">
        <f>IF(TbRegistroEntradas[[#This Row],[Data do Caixa Realizado]]="",0,YEAR(TbRegistroEntradas[[#This Row],[Data do Caixa Realizado]]))</f>
        <v>2018</v>
      </c>
      <c r="K104">
        <f>IF(TbRegistroEntradas[[#This Row],[Data da Competência]]="",0,MONTH(TbRegistroEntradas[[#This Row],[Data da Competência]]))</f>
        <v>6</v>
      </c>
      <c r="L104">
        <f>IF(TbRegistroEntradas[[#This Row],[Data da Competência]]="",0,YEAR(TbRegistroEntradas[[#This Row],[Data da Competência]]))</f>
        <v>2018</v>
      </c>
      <c r="M104">
        <f>IF(TbRegistroEntradas[[#This Row],[Data do Caixa Previsto]]="",0,MONTH(TbRegistroEntradas[[#This Row],[Data do Caixa Previsto]]))</f>
        <v>8</v>
      </c>
      <c r="N104">
        <f>IF(TbRegistroEntradas[[#This Row],[Data do Caixa Previsto]]="",0,YEAR(TbRegistroEntradas[[#This Row],[Data do Caixa Previsto]]))</f>
        <v>2018</v>
      </c>
      <c r="O104" t="str">
        <f ca="1">IF(AND(TbRegistroEntradas[[#This Row],[Data do Caixa Previsto]]&lt;TODAY(),TbRegistroEntradas[[#This Row],[Data do Caixa Realizado]]=""),"Vencida","Não Vencida")</f>
        <v>Não Vencida</v>
      </c>
      <c r="P104" t="str">
        <f>IF(TbRegistroEntradas[[#This Row],[Data da Competência]]=TbRegistroEntradas[[#This Row],[Data do Caixa Previsto]],"Vista","Prazo")</f>
        <v>Prazo</v>
      </c>
      <c r="Q10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27</v>
      </c>
    </row>
    <row r="105" spans="2:17" x14ac:dyDescent="0.25">
      <c r="B105" s="8">
        <v>43255</v>
      </c>
      <c r="C105" s="8">
        <v>43255</v>
      </c>
      <c r="D105" s="8">
        <v>43255</v>
      </c>
      <c r="E105" t="s">
        <v>23</v>
      </c>
      <c r="F105" t="s">
        <v>33</v>
      </c>
      <c r="G105" t="s">
        <v>160</v>
      </c>
      <c r="H105" s="9">
        <v>2781</v>
      </c>
      <c r="I105">
        <f>IF(TbRegistroEntradas[[#This Row],[Data do Caixa Realizado]]="",0,MONTH(TbRegistroEntradas[[#This Row],[Data do Caixa Realizado]]))</f>
        <v>6</v>
      </c>
      <c r="J105">
        <f>IF(TbRegistroEntradas[[#This Row],[Data do Caixa Realizado]]="",0,YEAR(TbRegistroEntradas[[#This Row],[Data do Caixa Realizado]]))</f>
        <v>2018</v>
      </c>
      <c r="K105">
        <f>IF(TbRegistroEntradas[[#This Row],[Data da Competência]]="",0,MONTH(TbRegistroEntradas[[#This Row],[Data da Competência]]))</f>
        <v>6</v>
      </c>
      <c r="L105">
        <f>IF(TbRegistroEntradas[[#This Row],[Data da Competência]]="",0,YEAR(TbRegistroEntradas[[#This Row],[Data da Competência]]))</f>
        <v>2018</v>
      </c>
      <c r="M105">
        <f>IF(TbRegistroEntradas[[#This Row],[Data do Caixa Previsto]]="",0,MONTH(TbRegistroEntradas[[#This Row],[Data do Caixa Previsto]]))</f>
        <v>6</v>
      </c>
      <c r="N105">
        <f>IF(TbRegistroEntradas[[#This Row],[Data do Caixa Previsto]]="",0,YEAR(TbRegistroEntradas[[#This Row],[Data do Caixa Previsto]]))</f>
        <v>2018</v>
      </c>
      <c r="O105" t="str">
        <f ca="1">IF(AND(TbRegistroEntradas[[#This Row],[Data do Caixa Previsto]]&lt;TODAY(),TbRegistroEntradas[[#This Row],[Data do Caixa Realizado]]=""),"Vencida","Não Vencida")</f>
        <v>Não Vencida</v>
      </c>
      <c r="P105" t="str">
        <f>IF(TbRegistroEntradas[[#This Row],[Data da Competência]]=TbRegistroEntradas[[#This Row],[Data do Caixa Previsto]],"Vista","Prazo")</f>
        <v>Vista</v>
      </c>
      <c r="Q10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6" spans="2:17" x14ac:dyDescent="0.25">
      <c r="B106" s="8">
        <v>43267</v>
      </c>
      <c r="C106" s="8">
        <v>43256</v>
      </c>
      <c r="D106" s="8">
        <v>43267</v>
      </c>
      <c r="E106" t="s">
        <v>23</v>
      </c>
      <c r="F106" t="s">
        <v>31</v>
      </c>
      <c r="G106" t="s">
        <v>161</v>
      </c>
      <c r="H106" s="9">
        <v>1875</v>
      </c>
      <c r="I106">
        <f>IF(TbRegistroEntradas[[#This Row],[Data do Caixa Realizado]]="",0,MONTH(TbRegistroEntradas[[#This Row],[Data do Caixa Realizado]]))</f>
        <v>6</v>
      </c>
      <c r="J106">
        <f>IF(TbRegistroEntradas[[#This Row],[Data do Caixa Realizado]]="",0,YEAR(TbRegistroEntradas[[#This Row],[Data do Caixa Realizado]]))</f>
        <v>2018</v>
      </c>
      <c r="K106">
        <f>IF(TbRegistroEntradas[[#This Row],[Data da Competência]]="",0,MONTH(TbRegistroEntradas[[#This Row],[Data da Competência]]))</f>
        <v>6</v>
      </c>
      <c r="L106">
        <f>IF(TbRegistroEntradas[[#This Row],[Data da Competência]]="",0,YEAR(TbRegistroEntradas[[#This Row],[Data da Competência]]))</f>
        <v>2018</v>
      </c>
      <c r="M106">
        <f>IF(TbRegistroEntradas[[#This Row],[Data do Caixa Previsto]]="",0,MONTH(TbRegistroEntradas[[#This Row],[Data do Caixa Previsto]]))</f>
        <v>6</v>
      </c>
      <c r="N106">
        <f>IF(TbRegistroEntradas[[#This Row],[Data do Caixa Previsto]]="",0,YEAR(TbRegistroEntradas[[#This Row],[Data do Caixa Previsto]]))</f>
        <v>2018</v>
      </c>
      <c r="O106" t="str">
        <f ca="1">IF(AND(TbRegistroEntradas[[#This Row],[Data do Caixa Previsto]]&lt;TODAY(),TbRegistroEntradas[[#This Row],[Data do Caixa Realizado]]=""),"Vencida","Não Vencida")</f>
        <v>Não Vencida</v>
      </c>
      <c r="P106" t="str">
        <f>IF(TbRegistroEntradas[[#This Row],[Data da Competência]]=TbRegistroEntradas[[#This Row],[Data do Caixa Previsto]],"Vista","Prazo")</f>
        <v>Prazo</v>
      </c>
      <c r="Q10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7" spans="2:17" x14ac:dyDescent="0.25">
      <c r="B107" s="8">
        <v>43259</v>
      </c>
      <c r="C107" s="8">
        <v>43259</v>
      </c>
      <c r="D107" s="8">
        <v>43259</v>
      </c>
      <c r="E107" t="s">
        <v>23</v>
      </c>
      <c r="F107" t="s">
        <v>34</v>
      </c>
      <c r="G107" t="s">
        <v>162</v>
      </c>
      <c r="H107" s="9">
        <v>3134</v>
      </c>
      <c r="I107">
        <f>IF(TbRegistroEntradas[[#This Row],[Data do Caixa Realizado]]="",0,MONTH(TbRegistroEntradas[[#This Row],[Data do Caixa Realizado]]))</f>
        <v>6</v>
      </c>
      <c r="J107">
        <f>IF(TbRegistroEntradas[[#This Row],[Data do Caixa Realizado]]="",0,YEAR(TbRegistroEntradas[[#This Row],[Data do Caixa Realizado]]))</f>
        <v>2018</v>
      </c>
      <c r="K107">
        <f>IF(TbRegistroEntradas[[#This Row],[Data da Competência]]="",0,MONTH(TbRegistroEntradas[[#This Row],[Data da Competência]]))</f>
        <v>6</v>
      </c>
      <c r="L107">
        <f>IF(TbRegistroEntradas[[#This Row],[Data da Competência]]="",0,YEAR(TbRegistroEntradas[[#This Row],[Data da Competência]]))</f>
        <v>2018</v>
      </c>
      <c r="M107">
        <f>IF(TbRegistroEntradas[[#This Row],[Data do Caixa Previsto]]="",0,MONTH(TbRegistroEntradas[[#This Row],[Data do Caixa Previsto]]))</f>
        <v>6</v>
      </c>
      <c r="N107">
        <f>IF(TbRegistroEntradas[[#This Row],[Data do Caixa Previsto]]="",0,YEAR(TbRegistroEntradas[[#This Row],[Data do Caixa Previsto]]))</f>
        <v>2018</v>
      </c>
      <c r="O107" t="str">
        <f ca="1">IF(AND(TbRegistroEntradas[[#This Row],[Data do Caixa Previsto]]&lt;TODAY(),TbRegistroEntradas[[#This Row],[Data do Caixa Realizado]]=""),"Vencida","Não Vencida")</f>
        <v>Não Vencida</v>
      </c>
      <c r="P107" t="str">
        <f>IF(TbRegistroEntradas[[#This Row],[Data da Competência]]=TbRegistroEntradas[[#This Row],[Data do Caixa Previsto]],"Vista","Prazo")</f>
        <v>Vista</v>
      </c>
      <c r="Q10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8" spans="2:17" x14ac:dyDescent="0.25">
      <c r="B108" s="8">
        <v>43276</v>
      </c>
      <c r="C108" s="8">
        <v>43261</v>
      </c>
      <c r="D108" s="8">
        <v>43276</v>
      </c>
      <c r="E108" t="s">
        <v>23</v>
      </c>
      <c r="F108" t="s">
        <v>32</v>
      </c>
      <c r="G108" t="s">
        <v>163</v>
      </c>
      <c r="H108" s="9">
        <v>2114</v>
      </c>
      <c r="I108">
        <f>IF(TbRegistroEntradas[[#This Row],[Data do Caixa Realizado]]="",0,MONTH(TbRegistroEntradas[[#This Row],[Data do Caixa Realizado]]))</f>
        <v>6</v>
      </c>
      <c r="J108">
        <f>IF(TbRegistroEntradas[[#This Row],[Data do Caixa Realizado]]="",0,YEAR(TbRegistroEntradas[[#This Row],[Data do Caixa Realizado]]))</f>
        <v>2018</v>
      </c>
      <c r="K108">
        <f>IF(TbRegistroEntradas[[#This Row],[Data da Competência]]="",0,MONTH(TbRegistroEntradas[[#This Row],[Data da Competência]]))</f>
        <v>6</v>
      </c>
      <c r="L108">
        <f>IF(TbRegistroEntradas[[#This Row],[Data da Competência]]="",0,YEAR(TbRegistroEntradas[[#This Row],[Data da Competência]]))</f>
        <v>2018</v>
      </c>
      <c r="M108">
        <f>IF(TbRegistroEntradas[[#This Row],[Data do Caixa Previsto]]="",0,MONTH(TbRegistroEntradas[[#This Row],[Data do Caixa Previsto]]))</f>
        <v>6</v>
      </c>
      <c r="N108">
        <f>IF(TbRegistroEntradas[[#This Row],[Data do Caixa Previsto]]="",0,YEAR(TbRegistroEntradas[[#This Row],[Data do Caixa Previsto]]))</f>
        <v>2018</v>
      </c>
      <c r="O108" t="str">
        <f ca="1">IF(AND(TbRegistroEntradas[[#This Row],[Data do Caixa Previsto]]&lt;TODAY(),TbRegistroEntradas[[#This Row],[Data do Caixa Realizado]]=""),"Vencida","Não Vencida")</f>
        <v>Não Vencida</v>
      </c>
      <c r="P108" t="str">
        <f>IF(TbRegistroEntradas[[#This Row],[Data da Competência]]=TbRegistroEntradas[[#This Row],[Data do Caixa Previsto]],"Vista","Prazo")</f>
        <v>Prazo</v>
      </c>
      <c r="Q10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09" spans="2:17" x14ac:dyDescent="0.25">
      <c r="B109" s="8">
        <v>43320</v>
      </c>
      <c r="C109" s="8">
        <v>43264</v>
      </c>
      <c r="D109" s="8">
        <v>43320</v>
      </c>
      <c r="E109" t="s">
        <v>23</v>
      </c>
      <c r="F109" t="s">
        <v>31</v>
      </c>
      <c r="G109" t="s">
        <v>164</v>
      </c>
      <c r="H109" s="9">
        <v>4961</v>
      </c>
      <c r="I109">
        <f>IF(TbRegistroEntradas[[#This Row],[Data do Caixa Realizado]]="",0,MONTH(TbRegistroEntradas[[#This Row],[Data do Caixa Realizado]]))</f>
        <v>8</v>
      </c>
      <c r="J109">
        <f>IF(TbRegistroEntradas[[#This Row],[Data do Caixa Realizado]]="",0,YEAR(TbRegistroEntradas[[#This Row],[Data do Caixa Realizado]]))</f>
        <v>2018</v>
      </c>
      <c r="K109">
        <f>IF(TbRegistroEntradas[[#This Row],[Data da Competência]]="",0,MONTH(TbRegistroEntradas[[#This Row],[Data da Competência]]))</f>
        <v>6</v>
      </c>
      <c r="L109">
        <f>IF(TbRegistroEntradas[[#This Row],[Data da Competência]]="",0,YEAR(TbRegistroEntradas[[#This Row],[Data da Competência]]))</f>
        <v>2018</v>
      </c>
      <c r="M109">
        <f>IF(TbRegistroEntradas[[#This Row],[Data do Caixa Previsto]]="",0,MONTH(TbRegistroEntradas[[#This Row],[Data do Caixa Previsto]]))</f>
        <v>8</v>
      </c>
      <c r="N109">
        <f>IF(TbRegistroEntradas[[#This Row],[Data do Caixa Previsto]]="",0,YEAR(TbRegistroEntradas[[#This Row],[Data do Caixa Previsto]]))</f>
        <v>2018</v>
      </c>
      <c r="O109" t="str">
        <f ca="1">IF(AND(TbRegistroEntradas[[#This Row],[Data do Caixa Previsto]]&lt;TODAY(),TbRegistroEntradas[[#This Row],[Data do Caixa Realizado]]=""),"Vencida","Não Vencida")</f>
        <v>Não Vencida</v>
      </c>
      <c r="P109" t="str">
        <f>IF(TbRegistroEntradas[[#This Row],[Data da Competência]]=TbRegistroEntradas[[#This Row],[Data do Caixa Previsto]],"Vista","Prazo")</f>
        <v>Prazo</v>
      </c>
      <c r="Q10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0" spans="2:17" x14ac:dyDescent="0.25">
      <c r="B110" s="8">
        <v>43303</v>
      </c>
      <c r="C110" s="8">
        <v>43265</v>
      </c>
      <c r="D110" s="8">
        <v>43303</v>
      </c>
      <c r="E110" t="s">
        <v>23</v>
      </c>
      <c r="F110" t="s">
        <v>34</v>
      </c>
      <c r="G110" t="s">
        <v>165</v>
      </c>
      <c r="H110" s="9">
        <v>909</v>
      </c>
      <c r="I110">
        <f>IF(TbRegistroEntradas[[#This Row],[Data do Caixa Realizado]]="",0,MONTH(TbRegistroEntradas[[#This Row],[Data do Caixa Realizado]]))</f>
        <v>7</v>
      </c>
      <c r="J110">
        <f>IF(TbRegistroEntradas[[#This Row],[Data do Caixa Realizado]]="",0,YEAR(TbRegistroEntradas[[#This Row],[Data do Caixa Realizado]]))</f>
        <v>2018</v>
      </c>
      <c r="K110">
        <f>IF(TbRegistroEntradas[[#This Row],[Data da Competência]]="",0,MONTH(TbRegistroEntradas[[#This Row],[Data da Competência]]))</f>
        <v>6</v>
      </c>
      <c r="L110">
        <f>IF(TbRegistroEntradas[[#This Row],[Data da Competência]]="",0,YEAR(TbRegistroEntradas[[#This Row],[Data da Competência]]))</f>
        <v>2018</v>
      </c>
      <c r="M110">
        <f>IF(TbRegistroEntradas[[#This Row],[Data do Caixa Previsto]]="",0,MONTH(TbRegistroEntradas[[#This Row],[Data do Caixa Previsto]]))</f>
        <v>7</v>
      </c>
      <c r="N110">
        <f>IF(TbRegistroEntradas[[#This Row],[Data do Caixa Previsto]]="",0,YEAR(TbRegistroEntradas[[#This Row],[Data do Caixa Previsto]]))</f>
        <v>2018</v>
      </c>
      <c r="O110" t="str">
        <f ca="1">IF(AND(TbRegistroEntradas[[#This Row],[Data do Caixa Previsto]]&lt;TODAY(),TbRegistroEntradas[[#This Row],[Data do Caixa Realizado]]=""),"Vencida","Não Vencida")</f>
        <v>Não Vencida</v>
      </c>
      <c r="P110" t="str">
        <f>IF(TbRegistroEntradas[[#This Row],[Data da Competência]]=TbRegistroEntradas[[#This Row],[Data do Caixa Previsto]],"Vista","Prazo")</f>
        <v>Prazo</v>
      </c>
      <c r="Q11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1" spans="2:17" x14ac:dyDescent="0.25">
      <c r="B111" s="8">
        <v>43293</v>
      </c>
      <c r="C111" s="8">
        <v>43266</v>
      </c>
      <c r="D111" s="8">
        <v>43293</v>
      </c>
      <c r="E111" t="s">
        <v>23</v>
      </c>
      <c r="F111" t="s">
        <v>34</v>
      </c>
      <c r="G111" t="s">
        <v>166</v>
      </c>
      <c r="H111" s="9">
        <v>2197</v>
      </c>
      <c r="I111">
        <f>IF(TbRegistroEntradas[[#This Row],[Data do Caixa Realizado]]="",0,MONTH(TbRegistroEntradas[[#This Row],[Data do Caixa Realizado]]))</f>
        <v>7</v>
      </c>
      <c r="J111">
        <f>IF(TbRegistroEntradas[[#This Row],[Data do Caixa Realizado]]="",0,YEAR(TbRegistroEntradas[[#This Row],[Data do Caixa Realizado]]))</f>
        <v>2018</v>
      </c>
      <c r="K111">
        <f>IF(TbRegistroEntradas[[#This Row],[Data da Competência]]="",0,MONTH(TbRegistroEntradas[[#This Row],[Data da Competência]]))</f>
        <v>6</v>
      </c>
      <c r="L111">
        <f>IF(TbRegistroEntradas[[#This Row],[Data da Competência]]="",0,YEAR(TbRegistroEntradas[[#This Row],[Data da Competência]]))</f>
        <v>2018</v>
      </c>
      <c r="M111">
        <f>IF(TbRegistroEntradas[[#This Row],[Data do Caixa Previsto]]="",0,MONTH(TbRegistroEntradas[[#This Row],[Data do Caixa Previsto]]))</f>
        <v>7</v>
      </c>
      <c r="N111">
        <f>IF(TbRegistroEntradas[[#This Row],[Data do Caixa Previsto]]="",0,YEAR(TbRegistroEntradas[[#This Row],[Data do Caixa Previsto]]))</f>
        <v>2018</v>
      </c>
      <c r="O111" t="str">
        <f ca="1">IF(AND(TbRegistroEntradas[[#This Row],[Data do Caixa Previsto]]&lt;TODAY(),TbRegistroEntradas[[#This Row],[Data do Caixa Realizado]]=""),"Vencida","Não Vencida")</f>
        <v>Não Vencida</v>
      </c>
      <c r="P111" t="str">
        <f>IF(TbRegistroEntradas[[#This Row],[Data da Competência]]=TbRegistroEntradas[[#This Row],[Data do Caixa Previsto]],"Vista","Prazo")</f>
        <v>Prazo</v>
      </c>
      <c r="Q1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2" spans="2:17" x14ac:dyDescent="0.25">
      <c r="B112" s="8">
        <v>43268</v>
      </c>
      <c r="C112" s="8">
        <v>43268</v>
      </c>
      <c r="D112" s="8">
        <v>43268</v>
      </c>
      <c r="E112" t="s">
        <v>23</v>
      </c>
      <c r="F112" t="s">
        <v>35</v>
      </c>
      <c r="G112" t="s">
        <v>167</v>
      </c>
      <c r="H112" s="9">
        <v>3045</v>
      </c>
      <c r="I112">
        <f>IF(TbRegistroEntradas[[#This Row],[Data do Caixa Realizado]]="",0,MONTH(TbRegistroEntradas[[#This Row],[Data do Caixa Realizado]]))</f>
        <v>6</v>
      </c>
      <c r="J112">
        <f>IF(TbRegistroEntradas[[#This Row],[Data do Caixa Realizado]]="",0,YEAR(TbRegistroEntradas[[#This Row],[Data do Caixa Realizado]]))</f>
        <v>2018</v>
      </c>
      <c r="K112">
        <f>IF(TbRegistroEntradas[[#This Row],[Data da Competência]]="",0,MONTH(TbRegistroEntradas[[#This Row],[Data da Competência]]))</f>
        <v>6</v>
      </c>
      <c r="L112">
        <f>IF(TbRegistroEntradas[[#This Row],[Data da Competência]]="",0,YEAR(TbRegistroEntradas[[#This Row],[Data da Competência]]))</f>
        <v>2018</v>
      </c>
      <c r="M112">
        <f>IF(TbRegistroEntradas[[#This Row],[Data do Caixa Previsto]]="",0,MONTH(TbRegistroEntradas[[#This Row],[Data do Caixa Previsto]]))</f>
        <v>6</v>
      </c>
      <c r="N112">
        <f>IF(TbRegistroEntradas[[#This Row],[Data do Caixa Previsto]]="",0,YEAR(TbRegistroEntradas[[#This Row],[Data do Caixa Previsto]]))</f>
        <v>2018</v>
      </c>
      <c r="O112" t="str">
        <f ca="1">IF(AND(TbRegistroEntradas[[#This Row],[Data do Caixa Previsto]]&lt;TODAY(),TbRegistroEntradas[[#This Row],[Data do Caixa Realizado]]=""),"Vencida","Não Vencida")</f>
        <v>Não Vencida</v>
      </c>
      <c r="P112" t="str">
        <f>IF(TbRegistroEntradas[[#This Row],[Data da Competência]]=TbRegistroEntradas[[#This Row],[Data do Caixa Previsto]],"Vista","Prazo")</f>
        <v>Vista</v>
      </c>
      <c r="Q1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3" spans="2:17" x14ac:dyDescent="0.25">
      <c r="B113" s="8">
        <v>43326</v>
      </c>
      <c r="C113" s="8">
        <v>43272</v>
      </c>
      <c r="D113" s="8">
        <v>43309</v>
      </c>
      <c r="E113" t="s">
        <v>23</v>
      </c>
      <c r="F113" t="s">
        <v>35</v>
      </c>
      <c r="G113" t="s">
        <v>168</v>
      </c>
      <c r="H113" s="9">
        <v>460</v>
      </c>
      <c r="I113">
        <f>IF(TbRegistroEntradas[[#This Row],[Data do Caixa Realizado]]="",0,MONTH(TbRegistroEntradas[[#This Row],[Data do Caixa Realizado]]))</f>
        <v>8</v>
      </c>
      <c r="J113">
        <f>IF(TbRegistroEntradas[[#This Row],[Data do Caixa Realizado]]="",0,YEAR(TbRegistroEntradas[[#This Row],[Data do Caixa Realizado]]))</f>
        <v>2018</v>
      </c>
      <c r="K113">
        <f>IF(TbRegistroEntradas[[#This Row],[Data da Competência]]="",0,MONTH(TbRegistroEntradas[[#This Row],[Data da Competência]]))</f>
        <v>6</v>
      </c>
      <c r="L113">
        <f>IF(TbRegistroEntradas[[#This Row],[Data da Competência]]="",0,YEAR(TbRegistroEntradas[[#This Row],[Data da Competência]]))</f>
        <v>2018</v>
      </c>
      <c r="M113">
        <f>IF(TbRegistroEntradas[[#This Row],[Data do Caixa Previsto]]="",0,MONTH(TbRegistroEntradas[[#This Row],[Data do Caixa Previsto]]))</f>
        <v>7</v>
      </c>
      <c r="N113">
        <f>IF(TbRegistroEntradas[[#This Row],[Data do Caixa Previsto]]="",0,YEAR(TbRegistroEntradas[[#This Row],[Data do Caixa Previsto]]))</f>
        <v>2018</v>
      </c>
      <c r="O113" t="str">
        <f ca="1">IF(AND(TbRegistroEntradas[[#This Row],[Data do Caixa Previsto]]&lt;TODAY(),TbRegistroEntradas[[#This Row],[Data do Caixa Realizado]]=""),"Vencida","Não Vencida")</f>
        <v>Não Vencida</v>
      </c>
      <c r="P113" t="str">
        <f>IF(TbRegistroEntradas[[#This Row],[Data da Competência]]=TbRegistroEntradas[[#This Row],[Data do Caixa Previsto]],"Vista","Prazo")</f>
        <v>Prazo</v>
      </c>
      <c r="Q11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</v>
      </c>
    </row>
    <row r="114" spans="2:17" x14ac:dyDescent="0.25">
      <c r="B114" s="8">
        <v>43313</v>
      </c>
      <c r="C114" s="8">
        <v>43275</v>
      </c>
      <c r="D114" s="8">
        <v>43313</v>
      </c>
      <c r="E114" t="s">
        <v>23</v>
      </c>
      <c r="F114" t="s">
        <v>35</v>
      </c>
      <c r="G114" t="s">
        <v>169</v>
      </c>
      <c r="H114" s="9">
        <v>770</v>
      </c>
      <c r="I114">
        <f>IF(TbRegistroEntradas[[#This Row],[Data do Caixa Realizado]]="",0,MONTH(TbRegistroEntradas[[#This Row],[Data do Caixa Realizado]]))</f>
        <v>8</v>
      </c>
      <c r="J114">
        <f>IF(TbRegistroEntradas[[#This Row],[Data do Caixa Realizado]]="",0,YEAR(TbRegistroEntradas[[#This Row],[Data do Caixa Realizado]]))</f>
        <v>2018</v>
      </c>
      <c r="K114">
        <f>IF(TbRegistroEntradas[[#This Row],[Data da Competência]]="",0,MONTH(TbRegistroEntradas[[#This Row],[Data da Competência]]))</f>
        <v>6</v>
      </c>
      <c r="L114">
        <f>IF(TbRegistroEntradas[[#This Row],[Data da Competência]]="",0,YEAR(TbRegistroEntradas[[#This Row],[Data da Competência]]))</f>
        <v>2018</v>
      </c>
      <c r="M114">
        <f>IF(TbRegistroEntradas[[#This Row],[Data do Caixa Previsto]]="",0,MONTH(TbRegistroEntradas[[#This Row],[Data do Caixa Previsto]]))</f>
        <v>8</v>
      </c>
      <c r="N114">
        <f>IF(TbRegistroEntradas[[#This Row],[Data do Caixa Previsto]]="",0,YEAR(TbRegistroEntradas[[#This Row],[Data do Caixa Previsto]]))</f>
        <v>2018</v>
      </c>
      <c r="O114" t="str">
        <f ca="1">IF(AND(TbRegistroEntradas[[#This Row],[Data do Caixa Previsto]]&lt;TODAY(),TbRegistroEntradas[[#This Row],[Data do Caixa Realizado]]=""),"Vencida","Não Vencida")</f>
        <v>Não Vencida</v>
      </c>
      <c r="P114" t="str">
        <f>IF(TbRegistroEntradas[[#This Row],[Data da Competência]]=TbRegistroEntradas[[#This Row],[Data do Caixa Previsto]],"Vista","Prazo")</f>
        <v>Prazo</v>
      </c>
      <c r="Q11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5" spans="2:17" x14ac:dyDescent="0.25">
      <c r="B115" s="8">
        <v>43317</v>
      </c>
      <c r="C115" s="8">
        <v>43276</v>
      </c>
      <c r="D115" s="8">
        <v>43317</v>
      </c>
      <c r="E115" t="s">
        <v>23</v>
      </c>
      <c r="F115" t="s">
        <v>34</v>
      </c>
      <c r="G115" t="s">
        <v>170</v>
      </c>
      <c r="H115" s="9">
        <v>3646</v>
      </c>
      <c r="I115">
        <f>IF(TbRegistroEntradas[[#This Row],[Data do Caixa Realizado]]="",0,MONTH(TbRegistroEntradas[[#This Row],[Data do Caixa Realizado]]))</f>
        <v>8</v>
      </c>
      <c r="J115">
        <f>IF(TbRegistroEntradas[[#This Row],[Data do Caixa Realizado]]="",0,YEAR(TbRegistroEntradas[[#This Row],[Data do Caixa Realizado]]))</f>
        <v>2018</v>
      </c>
      <c r="K115">
        <f>IF(TbRegistroEntradas[[#This Row],[Data da Competência]]="",0,MONTH(TbRegistroEntradas[[#This Row],[Data da Competência]]))</f>
        <v>6</v>
      </c>
      <c r="L115">
        <f>IF(TbRegistroEntradas[[#This Row],[Data da Competência]]="",0,YEAR(TbRegistroEntradas[[#This Row],[Data da Competência]]))</f>
        <v>2018</v>
      </c>
      <c r="M115">
        <f>IF(TbRegistroEntradas[[#This Row],[Data do Caixa Previsto]]="",0,MONTH(TbRegistroEntradas[[#This Row],[Data do Caixa Previsto]]))</f>
        <v>8</v>
      </c>
      <c r="N115">
        <f>IF(TbRegistroEntradas[[#This Row],[Data do Caixa Previsto]]="",0,YEAR(TbRegistroEntradas[[#This Row],[Data do Caixa Previsto]]))</f>
        <v>2018</v>
      </c>
      <c r="O115" t="str">
        <f ca="1">IF(AND(TbRegistroEntradas[[#This Row],[Data do Caixa Previsto]]&lt;TODAY(),TbRegistroEntradas[[#This Row],[Data do Caixa Realizado]]=""),"Vencida","Não Vencida")</f>
        <v>Não Vencida</v>
      </c>
      <c r="P115" t="str">
        <f>IF(TbRegistroEntradas[[#This Row],[Data da Competência]]=TbRegistroEntradas[[#This Row],[Data do Caixa Previsto]],"Vista","Prazo")</f>
        <v>Prazo</v>
      </c>
      <c r="Q11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6" spans="2:17" x14ac:dyDescent="0.25">
      <c r="B116" s="8">
        <v>43328</v>
      </c>
      <c r="C116" s="8">
        <v>43280</v>
      </c>
      <c r="D116" s="8">
        <v>43328</v>
      </c>
      <c r="E116" t="s">
        <v>23</v>
      </c>
      <c r="F116" t="s">
        <v>34</v>
      </c>
      <c r="G116" t="s">
        <v>171</v>
      </c>
      <c r="H116" s="9">
        <v>2376</v>
      </c>
      <c r="I116">
        <f>IF(TbRegistroEntradas[[#This Row],[Data do Caixa Realizado]]="",0,MONTH(TbRegistroEntradas[[#This Row],[Data do Caixa Realizado]]))</f>
        <v>8</v>
      </c>
      <c r="J116">
        <f>IF(TbRegistroEntradas[[#This Row],[Data do Caixa Realizado]]="",0,YEAR(TbRegistroEntradas[[#This Row],[Data do Caixa Realizado]]))</f>
        <v>2018</v>
      </c>
      <c r="K116">
        <f>IF(TbRegistroEntradas[[#This Row],[Data da Competência]]="",0,MONTH(TbRegistroEntradas[[#This Row],[Data da Competência]]))</f>
        <v>6</v>
      </c>
      <c r="L116">
        <f>IF(TbRegistroEntradas[[#This Row],[Data da Competência]]="",0,YEAR(TbRegistroEntradas[[#This Row],[Data da Competência]]))</f>
        <v>2018</v>
      </c>
      <c r="M116">
        <f>IF(TbRegistroEntradas[[#This Row],[Data do Caixa Previsto]]="",0,MONTH(TbRegistroEntradas[[#This Row],[Data do Caixa Previsto]]))</f>
        <v>8</v>
      </c>
      <c r="N116">
        <f>IF(TbRegistroEntradas[[#This Row],[Data do Caixa Previsto]]="",0,YEAR(TbRegistroEntradas[[#This Row],[Data do Caixa Previsto]]))</f>
        <v>2018</v>
      </c>
      <c r="O116" t="str">
        <f ca="1">IF(AND(TbRegistroEntradas[[#This Row],[Data do Caixa Previsto]]&lt;TODAY(),TbRegistroEntradas[[#This Row],[Data do Caixa Realizado]]=""),"Vencida","Não Vencida")</f>
        <v>Não Vencida</v>
      </c>
      <c r="P116" t="str">
        <f>IF(TbRegistroEntradas[[#This Row],[Data da Competência]]=TbRegistroEntradas[[#This Row],[Data do Caixa Previsto]],"Vista","Prazo")</f>
        <v>Prazo</v>
      </c>
      <c r="Q11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7" spans="2:17" x14ac:dyDescent="0.25">
      <c r="B117" s="8">
        <v>43398</v>
      </c>
      <c r="C117" s="8">
        <v>43284</v>
      </c>
      <c r="D117" s="8">
        <v>43310</v>
      </c>
      <c r="E117" t="s">
        <v>23</v>
      </c>
      <c r="F117" t="s">
        <v>34</v>
      </c>
      <c r="G117" t="s">
        <v>172</v>
      </c>
      <c r="H117" s="9">
        <v>3940</v>
      </c>
      <c r="I117">
        <f>IF(TbRegistroEntradas[[#This Row],[Data do Caixa Realizado]]="",0,MONTH(TbRegistroEntradas[[#This Row],[Data do Caixa Realizado]]))</f>
        <v>10</v>
      </c>
      <c r="J117">
        <f>IF(TbRegistroEntradas[[#This Row],[Data do Caixa Realizado]]="",0,YEAR(TbRegistroEntradas[[#This Row],[Data do Caixa Realizado]]))</f>
        <v>2018</v>
      </c>
      <c r="K117">
        <f>IF(TbRegistroEntradas[[#This Row],[Data da Competência]]="",0,MONTH(TbRegistroEntradas[[#This Row],[Data da Competência]]))</f>
        <v>7</v>
      </c>
      <c r="L117">
        <f>IF(TbRegistroEntradas[[#This Row],[Data da Competência]]="",0,YEAR(TbRegistroEntradas[[#This Row],[Data da Competência]]))</f>
        <v>2018</v>
      </c>
      <c r="M117">
        <f>IF(TbRegistroEntradas[[#This Row],[Data do Caixa Previsto]]="",0,MONTH(TbRegistroEntradas[[#This Row],[Data do Caixa Previsto]]))</f>
        <v>7</v>
      </c>
      <c r="N117">
        <f>IF(TbRegistroEntradas[[#This Row],[Data do Caixa Previsto]]="",0,YEAR(TbRegistroEntradas[[#This Row],[Data do Caixa Previsto]]))</f>
        <v>2018</v>
      </c>
      <c r="O117" t="str">
        <f ca="1">IF(AND(TbRegistroEntradas[[#This Row],[Data do Caixa Previsto]]&lt;TODAY(),TbRegistroEntradas[[#This Row],[Data do Caixa Realizado]]=""),"Vencida","Não Vencida")</f>
        <v>Não Vencida</v>
      </c>
      <c r="P117" t="str">
        <f>IF(TbRegistroEntradas[[#This Row],[Data da Competência]]=TbRegistroEntradas[[#This Row],[Data do Caixa Previsto]],"Vista","Prazo")</f>
        <v>Prazo</v>
      </c>
      <c r="Q11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88</v>
      </c>
    </row>
    <row r="118" spans="2:17" x14ac:dyDescent="0.25">
      <c r="B118" s="8">
        <v>43343</v>
      </c>
      <c r="C118" s="8">
        <v>43285</v>
      </c>
      <c r="D118" s="8">
        <v>43343</v>
      </c>
      <c r="E118" t="s">
        <v>23</v>
      </c>
      <c r="F118" t="s">
        <v>34</v>
      </c>
      <c r="G118" t="s">
        <v>173</v>
      </c>
      <c r="H118" s="9">
        <v>1732</v>
      </c>
      <c r="I118">
        <f>IF(TbRegistroEntradas[[#This Row],[Data do Caixa Realizado]]="",0,MONTH(TbRegistroEntradas[[#This Row],[Data do Caixa Realizado]]))</f>
        <v>8</v>
      </c>
      <c r="J118">
        <f>IF(TbRegistroEntradas[[#This Row],[Data do Caixa Realizado]]="",0,YEAR(TbRegistroEntradas[[#This Row],[Data do Caixa Realizado]]))</f>
        <v>2018</v>
      </c>
      <c r="K118">
        <f>IF(TbRegistroEntradas[[#This Row],[Data da Competência]]="",0,MONTH(TbRegistroEntradas[[#This Row],[Data da Competência]]))</f>
        <v>7</v>
      </c>
      <c r="L118">
        <f>IF(TbRegistroEntradas[[#This Row],[Data da Competência]]="",0,YEAR(TbRegistroEntradas[[#This Row],[Data da Competência]]))</f>
        <v>2018</v>
      </c>
      <c r="M118">
        <f>IF(TbRegistroEntradas[[#This Row],[Data do Caixa Previsto]]="",0,MONTH(TbRegistroEntradas[[#This Row],[Data do Caixa Previsto]]))</f>
        <v>8</v>
      </c>
      <c r="N118">
        <f>IF(TbRegistroEntradas[[#This Row],[Data do Caixa Previsto]]="",0,YEAR(TbRegistroEntradas[[#This Row],[Data do Caixa Previsto]]))</f>
        <v>2018</v>
      </c>
      <c r="O118" t="str">
        <f ca="1">IF(AND(TbRegistroEntradas[[#This Row],[Data do Caixa Previsto]]&lt;TODAY(),TbRegistroEntradas[[#This Row],[Data do Caixa Realizado]]=""),"Vencida","Não Vencida")</f>
        <v>Não Vencida</v>
      </c>
      <c r="P118" t="str">
        <f>IF(TbRegistroEntradas[[#This Row],[Data da Competência]]=TbRegistroEntradas[[#This Row],[Data do Caixa Previsto]],"Vista","Prazo")</f>
        <v>Prazo</v>
      </c>
      <c r="Q11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19" spans="2:17" x14ac:dyDescent="0.25">
      <c r="B119" s="8">
        <v>43316</v>
      </c>
      <c r="C119" s="8">
        <v>43286</v>
      </c>
      <c r="D119" s="8">
        <v>43316</v>
      </c>
      <c r="E119" t="s">
        <v>23</v>
      </c>
      <c r="F119" t="s">
        <v>33</v>
      </c>
      <c r="G119" t="s">
        <v>174</v>
      </c>
      <c r="H119" s="9">
        <v>1306</v>
      </c>
      <c r="I119">
        <f>IF(TbRegistroEntradas[[#This Row],[Data do Caixa Realizado]]="",0,MONTH(TbRegistroEntradas[[#This Row],[Data do Caixa Realizado]]))</f>
        <v>8</v>
      </c>
      <c r="J119">
        <f>IF(TbRegistroEntradas[[#This Row],[Data do Caixa Realizado]]="",0,YEAR(TbRegistroEntradas[[#This Row],[Data do Caixa Realizado]]))</f>
        <v>2018</v>
      </c>
      <c r="K119">
        <f>IF(TbRegistroEntradas[[#This Row],[Data da Competência]]="",0,MONTH(TbRegistroEntradas[[#This Row],[Data da Competência]]))</f>
        <v>7</v>
      </c>
      <c r="L119">
        <f>IF(TbRegistroEntradas[[#This Row],[Data da Competência]]="",0,YEAR(TbRegistroEntradas[[#This Row],[Data da Competência]]))</f>
        <v>2018</v>
      </c>
      <c r="M119">
        <f>IF(TbRegistroEntradas[[#This Row],[Data do Caixa Previsto]]="",0,MONTH(TbRegistroEntradas[[#This Row],[Data do Caixa Previsto]]))</f>
        <v>8</v>
      </c>
      <c r="N119">
        <f>IF(TbRegistroEntradas[[#This Row],[Data do Caixa Previsto]]="",0,YEAR(TbRegistroEntradas[[#This Row],[Data do Caixa Previsto]]))</f>
        <v>2018</v>
      </c>
      <c r="O119" t="str">
        <f ca="1">IF(AND(TbRegistroEntradas[[#This Row],[Data do Caixa Previsto]]&lt;TODAY(),TbRegistroEntradas[[#This Row],[Data do Caixa Realizado]]=""),"Vencida","Não Vencida")</f>
        <v>Não Vencida</v>
      </c>
      <c r="P119" t="str">
        <f>IF(TbRegistroEntradas[[#This Row],[Data da Competência]]=TbRegistroEntradas[[#This Row],[Data do Caixa Previsto]],"Vista","Prazo")</f>
        <v>Prazo</v>
      </c>
      <c r="Q11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0" spans="2:17" x14ac:dyDescent="0.25">
      <c r="B120" s="8">
        <v>43336</v>
      </c>
      <c r="C120" s="8">
        <v>43288</v>
      </c>
      <c r="D120" s="8">
        <v>43336</v>
      </c>
      <c r="E120" t="s">
        <v>23</v>
      </c>
      <c r="F120" t="s">
        <v>32</v>
      </c>
      <c r="G120" t="s">
        <v>175</v>
      </c>
      <c r="H120" s="9">
        <v>3954</v>
      </c>
      <c r="I120">
        <f>IF(TbRegistroEntradas[[#This Row],[Data do Caixa Realizado]]="",0,MONTH(TbRegistroEntradas[[#This Row],[Data do Caixa Realizado]]))</f>
        <v>8</v>
      </c>
      <c r="J120">
        <f>IF(TbRegistroEntradas[[#This Row],[Data do Caixa Realizado]]="",0,YEAR(TbRegistroEntradas[[#This Row],[Data do Caixa Realizado]]))</f>
        <v>2018</v>
      </c>
      <c r="K120">
        <f>IF(TbRegistroEntradas[[#This Row],[Data da Competência]]="",0,MONTH(TbRegistroEntradas[[#This Row],[Data da Competência]]))</f>
        <v>7</v>
      </c>
      <c r="L120">
        <f>IF(TbRegistroEntradas[[#This Row],[Data da Competência]]="",0,YEAR(TbRegistroEntradas[[#This Row],[Data da Competência]]))</f>
        <v>2018</v>
      </c>
      <c r="M120">
        <f>IF(TbRegistroEntradas[[#This Row],[Data do Caixa Previsto]]="",0,MONTH(TbRegistroEntradas[[#This Row],[Data do Caixa Previsto]]))</f>
        <v>8</v>
      </c>
      <c r="N120">
        <f>IF(TbRegistroEntradas[[#This Row],[Data do Caixa Previsto]]="",0,YEAR(TbRegistroEntradas[[#This Row],[Data do Caixa Previsto]]))</f>
        <v>2018</v>
      </c>
      <c r="O120" t="str">
        <f ca="1">IF(AND(TbRegistroEntradas[[#This Row],[Data do Caixa Previsto]]&lt;TODAY(),TbRegistroEntradas[[#This Row],[Data do Caixa Realizado]]=""),"Vencida","Não Vencida")</f>
        <v>Não Vencida</v>
      </c>
      <c r="P120" t="str">
        <f>IF(TbRegistroEntradas[[#This Row],[Data da Competência]]=TbRegistroEntradas[[#This Row],[Data do Caixa Previsto]],"Vista","Prazo")</f>
        <v>Prazo</v>
      </c>
      <c r="Q12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1" spans="2:17" x14ac:dyDescent="0.25">
      <c r="B121" s="8">
        <v>43323</v>
      </c>
      <c r="C121" s="8">
        <v>43292</v>
      </c>
      <c r="D121" s="8">
        <v>43323</v>
      </c>
      <c r="E121" t="s">
        <v>23</v>
      </c>
      <c r="F121" t="s">
        <v>35</v>
      </c>
      <c r="G121" t="s">
        <v>176</v>
      </c>
      <c r="H121" s="9">
        <v>4090</v>
      </c>
      <c r="I121">
        <f>IF(TbRegistroEntradas[[#This Row],[Data do Caixa Realizado]]="",0,MONTH(TbRegistroEntradas[[#This Row],[Data do Caixa Realizado]]))</f>
        <v>8</v>
      </c>
      <c r="J121">
        <f>IF(TbRegistroEntradas[[#This Row],[Data do Caixa Realizado]]="",0,YEAR(TbRegistroEntradas[[#This Row],[Data do Caixa Realizado]]))</f>
        <v>2018</v>
      </c>
      <c r="K121">
        <f>IF(TbRegistroEntradas[[#This Row],[Data da Competência]]="",0,MONTH(TbRegistroEntradas[[#This Row],[Data da Competência]]))</f>
        <v>7</v>
      </c>
      <c r="L121">
        <f>IF(TbRegistroEntradas[[#This Row],[Data da Competência]]="",0,YEAR(TbRegistroEntradas[[#This Row],[Data da Competência]]))</f>
        <v>2018</v>
      </c>
      <c r="M121">
        <f>IF(TbRegistroEntradas[[#This Row],[Data do Caixa Previsto]]="",0,MONTH(TbRegistroEntradas[[#This Row],[Data do Caixa Previsto]]))</f>
        <v>8</v>
      </c>
      <c r="N121">
        <f>IF(TbRegistroEntradas[[#This Row],[Data do Caixa Previsto]]="",0,YEAR(TbRegistroEntradas[[#This Row],[Data do Caixa Previsto]]))</f>
        <v>2018</v>
      </c>
      <c r="O121" t="str">
        <f ca="1">IF(AND(TbRegistroEntradas[[#This Row],[Data do Caixa Previsto]]&lt;TODAY(),TbRegistroEntradas[[#This Row],[Data do Caixa Realizado]]=""),"Vencida","Não Vencida")</f>
        <v>Não Vencida</v>
      </c>
      <c r="P121" t="str">
        <f>IF(TbRegistroEntradas[[#This Row],[Data da Competência]]=TbRegistroEntradas[[#This Row],[Data do Caixa Previsto]],"Vista","Prazo")</f>
        <v>Prazo</v>
      </c>
      <c r="Q12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2" spans="2:17" x14ac:dyDescent="0.25">
      <c r="B122" s="8">
        <v>43311</v>
      </c>
      <c r="C122" s="8">
        <v>43293</v>
      </c>
      <c r="D122" s="8">
        <v>43311</v>
      </c>
      <c r="E122" t="s">
        <v>23</v>
      </c>
      <c r="F122" t="s">
        <v>31</v>
      </c>
      <c r="G122" t="s">
        <v>177</v>
      </c>
      <c r="H122" s="9">
        <v>2713</v>
      </c>
      <c r="I122">
        <f>IF(TbRegistroEntradas[[#This Row],[Data do Caixa Realizado]]="",0,MONTH(TbRegistroEntradas[[#This Row],[Data do Caixa Realizado]]))</f>
        <v>7</v>
      </c>
      <c r="J122">
        <f>IF(TbRegistroEntradas[[#This Row],[Data do Caixa Realizado]]="",0,YEAR(TbRegistroEntradas[[#This Row],[Data do Caixa Realizado]]))</f>
        <v>2018</v>
      </c>
      <c r="K122">
        <f>IF(TbRegistroEntradas[[#This Row],[Data da Competência]]="",0,MONTH(TbRegistroEntradas[[#This Row],[Data da Competência]]))</f>
        <v>7</v>
      </c>
      <c r="L122">
        <f>IF(TbRegistroEntradas[[#This Row],[Data da Competência]]="",0,YEAR(TbRegistroEntradas[[#This Row],[Data da Competência]]))</f>
        <v>2018</v>
      </c>
      <c r="M122">
        <f>IF(TbRegistroEntradas[[#This Row],[Data do Caixa Previsto]]="",0,MONTH(TbRegistroEntradas[[#This Row],[Data do Caixa Previsto]]))</f>
        <v>7</v>
      </c>
      <c r="N122">
        <f>IF(TbRegistroEntradas[[#This Row],[Data do Caixa Previsto]]="",0,YEAR(TbRegistroEntradas[[#This Row],[Data do Caixa Previsto]]))</f>
        <v>2018</v>
      </c>
      <c r="O122" t="str">
        <f ca="1">IF(AND(TbRegistroEntradas[[#This Row],[Data do Caixa Previsto]]&lt;TODAY(),TbRegistroEntradas[[#This Row],[Data do Caixa Realizado]]=""),"Vencida","Não Vencida")</f>
        <v>Não Vencida</v>
      </c>
      <c r="P122" t="str">
        <f>IF(TbRegistroEntradas[[#This Row],[Data da Competência]]=TbRegistroEntradas[[#This Row],[Data do Caixa Previsto]],"Vista","Prazo")</f>
        <v>Prazo</v>
      </c>
      <c r="Q12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3" spans="2:17" x14ac:dyDescent="0.25">
      <c r="B123" s="8">
        <v>43302</v>
      </c>
      <c r="C123" s="8">
        <v>43297</v>
      </c>
      <c r="D123" s="8">
        <v>43302</v>
      </c>
      <c r="E123" t="s">
        <v>23</v>
      </c>
      <c r="F123" t="s">
        <v>34</v>
      </c>
      <c r="G123" t="s">
        <v>178</v>
      </c>
      <c r="H123" s="9">
        <v>3482</v>
      </c>
      <c r="I123">
        <f>IF(TbRegistroEntradas[[#This Row],[Data do Caixa Realizado]]="",0,MONTH(TbRegistroEntradas[[#This Row],[Data do Caixa Realizado]]))</f>
        <v>7</v>
      </c>
      <c r="J123">
        <f>IF(TbRegistroEntradas[[#This Row],[Data do Caixa Realizado]]="",0,YEAR(TbRegistroEntradas[[#This Row],[Data do Caixa Realizado]]))</f>
        <v>2018</v>
      </c>
      <c r="K123">
        <f>IF(TbRegistroEntradas[[#This Row],[Data da Competência]]="",0,MONTH(TbRegistroEntradas[[#This Row],[Data da Competência]]))</f>
        <v>7</v>
      </c>
      <c r="L123">
        <f>IF(TbRegistroEntradas[[#This Row],[Data da Competência]]="",0,YEAR(TbRegistroEntradas[[#This Row],[Data da Competência]]))</f>
        <v>2018</v>
      </c>
      <c r="M123">
        <f>IF(TbRegistroEntradas[[#This Row],[Data do Caixa Previsto]]="",0,MONTH(TbRegistroEntradas[[#This Row],[Data do Caixa Previsto]]))</f>
        <v>7</v>
      </c>
      <c r="N123">
        <f>IF(TbRegistroEntradas[[#This Row],[Data do Caixa Previsto]]="",0,YEAR(TbRegistroEntradas[[#This Row],[Data do Caixa Previsto]]))</f>
        <v>2018</v>
      </c>
      <c r="O123" t="str">
        <f ca="1">IF(AND(TbRegistroEntradas[[#This Row],[Data do Caixa Previsto]]&lt;TODAY(),TbRegistroEntradas[[#This Row],[Data do Caixa Realizado]]=""),"Vencida","Não Vencida")</f>
        <v>Não Vencida</v>
      </c>
      <c r="P123" t="str">
        <f>IF(TbRegistroEntradas[[#This Row],[Data da Competência]]=TbRegistroEntradas[[#This Row],[Data do Caixa Previsto]],"Vista","Prazo")</f>
        <v>Prazo</v>
      </c>
      <c r="Q12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4" spans="2:17" x14ac:dyDescent="0.25">
      <c r="B124" s="8" t="s">
        <v>68</v>
      </c>
      <c r="C124" s="8">
        <v>43299</v>
      </c>
      <c r="D124" s="8">
        <v>43346</v>
      </c>
      <c r="E124" t="s">
        <v>23</v>
      </c>
      <c r="F124" t="s">
        <v>34</v>
      </c>
      <c r="G124" t="s">
        <v>179</v>
      </c>
      <c r="H124" s="9">
        <v>2071</v>
      </c>
      <c r="I124">
        <f>IF(TbRegistroEntradas[[#This Row],[Data do Caixa Realizado]]="",0,MONTH(TbRegistroEntradas[[#This Row],[Data do Caixa Realizado]]))</f>
        <v>0</v>
      </c>
      <c r="J124">
        <f>IF(TbRegistroEntradas[[#This Row],[Data do Caixa Realizado]]="",0,YEAR(TbRegistroEntradas[[#This Row],[Data do Caixa Realizado]]))</f>
        <v>0</v>
      </c>
      <c r="K124">
        <f>IF(TbRegistroEntradas[[#This Row],[Data da Competência]]="",0,MONTH(TbRegistroEntradas[[#This Row],[Data da Competência]]))</f>
        <v>7</v>
      </c>
      <c r="L124">
        <f>IF(TbRegistroEntradas[[#This Row],[Data da Competência]]="",0,YEAR(TbRegistroEntradas[[#This Row],[Data da Competência]]))</f>
        <v>2018</v>
      </c>
      <c r="M124">
        <f>IF(TbRegistroEntradas[[#This Row],[Data do Caixa Previsto]]="",0,MONTH(TbRegistroEntradas[[#This Row],[Data do Caixa Previsto]]))</f>
        <v>9</v>
      </c>
      <c r="N124">
        <f>IF(TbRegistroEntradas[[#This Row],[Data do Caixa Previsto]]="",0,YEAR(TbRegistroEntradas[[#This Row],[Data do Caixa Previsto]]))</f>
        <v>2018</v>
      </c>
      <c r="O124" t="str">
        <f ca="1">IF(AND(TbRegistroEntradas[[#This Row],[Data do Caixa Previsto]]&lt;TODAY(),TbRegistroEntradas[[#This Row],[Data do Caixa Realizado]]=""),"Vencida","Não Vencida")</f>
        <v>Vencida</v>
      </c>
      <c r="P124" t="str">
        <f>IF(TbRegistroEntradas[[#This Row],[Data da Competência]]=TbRegistroEntradas[[#This Row],[Data do Caixa Previsto]],"Vista","Prazo")</f>
        <v>Prazo</v>
      </c>
      <c r="Q12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1569</v>
      </c>
    </row>
    <row r="125" spans="2:17" x14ac:dyDescent="0.25">
      <c r="B125" s="8" t="s">
        <v>68</v>
      </c>
      <c r="C125" s="8">
        <v>43304</v>
      </c>
      <c r="D125" s="8">
        <v>43304</v>
      </c>
      <c r="E125" t="s">
        <v>23</v>
      </c>
      <c r="F125" t="s">
        <v>35</v>
      </c>
      <c r="G125" t="s">
        <v>180</v>
      </c>
      <c r="H125" s="9">
        <v>4258</v>
      </c>
      <c r="I125">
        <f>IF(TbRegistroEntradas[[#This Row],[Data do Caixa Realizado]]="",0,MONTH(TbRegistroEntradas[[#This Row],[Data do Caixa Realizado]]))</f>
        <v>0</v>
      </c>
      <c r="J125">
        <f>IF(TbRegistroEntradas[[#This Row],[Data do Caixa Realizado]]="",0,YEAR(TbRegistroEntradas[[#This Row],[Data do Caixa Realizado]]))</f>
        <v>0</v>
      </c>
      <c r="K125">
        <f>IF(TbRegistroEntradas[[#This Row],[Data da Competência]]="",0,MONTH(TbRegistroEntradas[[#This Row],[Data da Competência]]))</f>
        <v>7</v>
      </c>
      <c r="L125">
        <f>IF(TbRegistroEntradas[[#This Row],[Data da Competência]]="",0,YEAR(TbRegistroEntradas[[#This Row],[Data da Competência]]))</f>
        <v>2018</v>
      </c>
      <c r="M125">
        <f>IF(TbRegistroEntradas[[#This Row],[Data do Caixa Previsto]]="",0,MONTH(TbRegistroEntradas[[#This Row],[Data do Caixa Previsto]]))</f>
        <v>7</v>
      </c>
      <c r="N125">
        <f>IF(TbRegistroEntradas[[#This Row],[Data do Caixa Previsto]]="",0,YEAR(TbRegistroEntradas[[#This Row],[Data do Caixa Previsto]]))</f>
        <v>2018</v>
      </c>
      <c r="O125" t="str">
        <f ca="1">IF(AND(TbRegistroEntradas[[#This Row],[Data do Caixa Previsto]]&lt;TODAY(),TbRegistroEntradas[[#This Row],[Data do Caixa Realizado]]=""),"Vencida","Não Vencida")</f>
        <v>Vencida</v>
      </c>
      <c r="P125" t="str">
        <f>IF(TbRegistroEntradas[[#This Row],[Data da Competência]]=TbRegistroEntradas[[#This Row],[Data do Caixa Previsto]],"Vista","Prazo")</f>
        <v>Vista</v>
      </c>
      <c r="Q12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1611</v>
      </c>
    </row>
    <row r="126" spans="2:17" x14ac:dyDescent="0.25">
      <c r="B126" s="8">
        <v>43350</v>
      </c>
      <c r="C126" s="8">
        <v>43306</v>
      </c>
      <c r="D126" s="8">
        <v>43350</v>
      </c>
      <c r="E126" t="s">
        <v>23</v>
      </c>
      <c r="F126" t="s">
        <v>32</v>
      </c>
      <c r="G126" t="s">
        <v>181</v>
      </c>
      <c r="H126" s="9">
        <v>4383</v>
      </c>
      <c r="I126">
        <f>IF(TbRegistroEntradas[[#This Row],[Data do Caixa Realizado]]="",0,MONTH(TbRegistroEntradas[[#This Row],[Data do Caixa Realizado]]))</f>
        <v>9</v>
      </c>
      <c r="J126">
        <f>IF(TbRegistroEntradas[[#This Row],[Data do Caixa Realizado]]="",0,YEAR(TbRegistroEntradas[[#This Row],[Data do Caixa Realizado]]))</f>
        <v>2018</v>
      </c>
      <c r="K126">
        <f>IF(TbRegistroEntradas[[#This Row],[Data da Competência]]="",0,MONTH(TbRegistroEntradas[[#This Row],[Data da Competência]]))</f>
        <v>7</v>
      </c>
      <c r="L126">
        <f>IF(TbRegistroEntradas[[#This Row],[Data da Competência]]="",0,YEAR(TbRegistroEntradas[[#This Row],[Data da Competência]]))</f>
        <v>2018</v>
      </c>
      <c r="M126">
        <f>IF(TbRegistroEntradas[[#This Row],[Data do Caixa Previsto]]="",0,MONTH(TbRegistroEntradas[[#This Row],[Data do Caixa Previsto]]))</f>
        <v>9</v>
      </c>
      <c r="N126">
        <f>IF(TbRegistroEntradas[[#This Row],[Data do Caixa Previsto]]="",0,YEAR(TbRegistroEntradas[[#This Row],[Data do Caixa Previsto]]))</f>
        <v>2018</v>
      </c>
      <c r="O126" t="str">
        <f ca="1">IF(AND(TbRegistroEntradas[[#This Row],[Data do Caixa Previsto]]&lt;TODAY(),TbRegistroEntradas[[#This Row],[Data do Caixa Realizado]]=""),"Vencida","Não Vencida")</f>
        <v>Não Vencida</v>
      </c>
      <c r="P126" t="str">
        <f>IF(TbRegistroEntradas[[#This Row],[Data da Competência]]=TbRegistroEntradas[[#This Row],[Data do Caixa Previsto]],"Vista","Prazo")</f>
        <v>Prazo</v>
      </c>
      <c r="Q12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27" spans="2:17" x14ac:dyDescent="0.25">
      <c r="B127" s="8" t="s">
        <v>68</v>
      </c>
      <c r="C127" s="8">
        <v>43310</v>
      </c>
      <c r="D127" s="8">
        <v>43310</v>
      </c>
      <c r="E127" t="s">
        <v>23</v>
      </c>
      <c r="F127" t="s">
        <v>34</v>
      </c>
      <c r="G127" t="s">
        <v>182</v>
      </c>
      <c r="H127" s="9">
        <v>1369</v>
      </c>
      <c r="I127">
        <f>IF(TbRegistroEntradas[[#This Row],[Data do Caixa Realizado]]="",0,MONTH(TbRegistroEntradas[[#This Row],[Data do Caixa Realizado]]))</f>
        <v>0</v>
      </c>
      <c r="J127">
        <f>IF(TbRegistroEntradas[[#This Row],[Data do Caixa Realizado]]="",0,YEAR(TbRegistroEntradas[[#This Row],[Data do Caixa Realizado]]))</f>
        <v>0</v>
      </c>
      <c r="K127">
        <f>IF(TbRegistroEntradas[[#This Row],[Data da Competência]]="",0,MONTH(TbRegistroEntradas[[#This Row],[Data da Competência]]))</f>
        <v>7</v>
      </c>
      <c r="L127">
        <f>IF(TbRegistroEntradas[[#This Row],[Data da Competência]]="",0,YEAR(TbRegistroEntradas[[#This Row],[Data da Competência]]))</f>
        <v>2018</v>
      </c>
      <c r="M127">
        <f>IF(TbRegistroEntradas[[#This Row],[Data do Caixa Previsto]]="",0,MONTH(TbRegistroEntradas[[#This Row],[Data do Caixa Previsto]]))</f>
        <v>7</v>
      </c>
      <c r="N127">
        <f>IF(TbRegistroEntradas[[#This Row],[Data do Caixa Previsto]]="",0,YEAR(TbRegistroEntradas[[#This Row],[Data do Caixa Previsto]]))</f>
        <v>2018</v>
      </c>
      <c r="O127" t="str">
        <f ca="1">IF(AND(TbRegistroEntradas[[#This Row],[Data do Caixa Previsto]]&lt;TODAY(),TbRegistroEntradas[[#This Row],[Data do Caixa Realizado]]=""),"Vencida","Não Vencida")</f>
        <v>Vencida</v>
      </c>
      <c r="P127" t="str">
        <f>IF(TbRegistroEntradas[[#This Row],[Data da Competência]]=TbRegistroEntradas[[#This Row],[Data do Caixa Previsto]],"Vista","Prazo")</f>
        <v>Vista</v>
      </c>
      <c r="Q12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1605</v>
      </c>
    </row>
    <row r="128" spans="2:17" x14ac:dyDescent="0.25">
      <c r="B128" s="8">
        <v>43409</v>
      </c>
      <c r="C128" s="8">
        <v>43315</v>
      </c>
      <c r="D128" s="8">
        <v>43357</v>
      </c>
      <c r="E128" t="s">
        <v>23</v>
      </c>
      <c r="F128" t="s">
        <v>34</v>
      </c>
      <c r="G128" t="s">
        <v>183</v>
      </c>
      <c r="H128" s="9">
        <v>331</v>
      </c>
      <c r="I128">
        <f>IF(TbRegistroEntradas[[#This Row],[Data do Caixa Realizado]]="",0,MONTH(TbRegistroEntradas[[#This Row],[Data do Caixa Realizado]]))</f>
        <v>11</v>
      </c>
      <c r="J128">
        <f>IF(TbRegistroEntradas[[#This Row],[Data do Caixa Realizado]]="",0,YEAR(TbRegistroEntradas[[#This Row],[Data do Caixa Realizado]]))</f>
        <v>2018</v>
      </c>
      <c r="K128">
        <f>IF(TbRegistroEntradas[[#This Row],[Data da Competência]]="",0,MONTH(TbRegistroEntradas[[#This Row],[Data da Competência]]))</f>
        <v>8</v>
      </c>
      <c r="L128">
        <f>IF(TbRegistroEntradas[[#This Row],[Data da Competência]]="",0,YEAR(TbRegistroEntradas[[#This Row],[Data da Competência]]))</f>
        <v>2018</v>
      </c>
      <c r="M128">
        <f>IF(TbRegistroEntradas[[#This Row],[Data do Caixa Previsto]]="",0,MONTH(TbRegistroEntradas[[#This Row],[Data do Caixa Previsto]]))</f>
        <v>9</v>
      </c>
      <c r="N128">
        <f>IF(TbRegistroEntradas[[#This Row],[Data do Caixa Previsto]]="",0,YEAR(TbRegistroEntradas[[#This Row],[Data do Caixa Previsto]]))</f>
        <v>2018</v>
      </c>
      <c r="O128" t="str">
        <f ca="1">IF(AND(TbRegistroEntradas[[#This Row],[Data do Caixa Previsto]]&lt;TODAY(),TbRegistroEntradas[[#This Row],[Data do Caixa Realizado]]=""),"Vencida","Não Vencida")</f>
        <v>Não Vencida</v>
      </c>
      <c r="P128" t="str">
        <f>IF(TbRegistroEntradas[[#This Row],[Data da Competência]]=TbRegistroEntradas[[#This Row],[Data do Caixa Previsto]],"Vista","Prazo")</f>
        <v>Prazo</v>
      </c>
      <c r="Q12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52</v>
      </c>
    </row>
    <row r="129" spans="2:17" x14ac:dyDescent="0.25">
      <c r="B129" s="8">
        <v>43368</v>
      </c>
      <c r="C129" s="8">
        <v>43318</v>
      </c>
      <c r="D129" s="8">
        <v>43318</v>
      </c>
      <c r="E129" t="s">
        <v>23</v>
      </c>
      <c r="F129" t="s">
        <v>34</v>
      </c>
      <c r="G129" t="s">
        <v>184</v>
      </c>
      <c r="H129" s="9">
        <v>3031</v>
      </c>
      <c r="I129">
        <f>IF(TbRegistroEntradas[[#This Row],[Data do Caixa Realizado]]="",0,MONTH(TbRegistroEntradas[[#This Row],[Data do Caixa Realizado]]))</f>
        <v>9</v>
      </c>
      <c r="J129">
        <f>IF(TbRegistroEntradas[[#This Row],[Data do Caixa Realizado]]="",0,YEAR(TbRegistroEntradas[[#This Row],[Data do Caixa Realizado]]))</f>
        <v>2018</v>
      </c>
      <c r="K129">
        <f>IF(TbRegistroEntradas[[#This Row],[Data da Competência]]="",0,MONTH(TbRegistroEntradas[[#This Row],[Data da Competência]]))</f>
        <v>8</v>
      </c>
      <c r="L129">
        <f>IF(TbRegistroEntradas[[#This Row],[Data da Competência]]="",0,YEAR(TbRegistroEntradas[[#This Row],[Data da Competência]]))</f>
        <v>2018</v>
      </c>
      <c r="M129">
        <f>IF(TbRegistroEntradas[[#This Row],[Data do Caixa Previsto]]="",0,MONTH(TbRegistroEntradas[[#This Row],[Data do Caixa Previsto]]))</f>
        <v>8</v>
      </c>
      <c r="N129">
        <f>IF(TbRegistroEntradas[[#This Row],[Data do Caixa Previsto]]="",0,YEAR(TbRegistroEntradas[[#This Row],[Data do Caixa Previsto]]))</f>
        <v>2018</v>
      </c>
      <c r="O129" t="str">
        <f ca="1">IF(AND(TbRegistroEntradas[[#This Row],[Data do Caixa Previsto]]&lt;TODAY(),TbRegistroEntradas[[#This Row],[Data do Caixa Realizado]]=""),"Vencida","Não Vencida")</f>
        <v>Não Vencida</v>
      </c>
      <c r="P129" t="str">
        <f>IF(TbRegistroEntradas[[#This Row],[Data da Competência]]=TbRegistroEntradas[[#This Row],[Data do Caixa Previsto]],"Vista","Prazo")</f>
        <v>Vista</v>
      </c>
      <c r="Q12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50</v>
      </c>
    </row>
    <row r="130" spans="2:17" x14ac:dyDescent="0.25">
      <c r="B130" s="8">
        <v>43341</v>
      </c>
      <c r="C130" s="8">
        <v>43321</v>
      </c>
      <c r="D130" s="8">
        <v>43341</v>
      </c>
      <c r="E130" t="s">
        <v>23</v>
      </c>
      <c r="F130" t="s">
        <v>32</v>
      </c>
      <c r="G130" t="s">
        <v>185</v>
      </c>
      <c r="H130" s="9">
        <v>1200</v>
      </c>
      <c r="I130">
        <f>IF(TbRegistroEntradas[[#This Row],[Data do Caixa Realizado]]="",0,MONTH(TbRegistroEntradas[[#This Row],[Data do Caixa Realizado]]))</f>
        <v>8</v>
      </c>
      <c r="J130">
        <f>IF(TbRegistroEntradas[[#This Row],[Data do Caixa Realizado]]="",0,YEAR(TbRegistroEntradas[[#This Row],[Data do Caixa Realizado]]))</f>
        <v>2018</v>
      </c>
      <c r="K130">
        <f>IF(TbRegistroEntradas[[#This Row],[Data da Competência]]="",0,MONTH(TbRegistroEntradas[[#This Row],[Data da Competência]]))</f>
        <v>8</v>
      </c>
      <c r="L130">
        <f>IF(TbRegistroEntradas[[#This Row],[Data da Competência]]="",0,YEAR(TbRegistroEntradas[[#This Row],[Data da Competência]]))</f>
        <v>2018</v>
      </c>
      <c r="M130">
        <f>IF(TbRegistroEntradas[[#This Row],[Data do Caixa Previsto]]="",0,MONTH(TbRegistroEntradas[[#This Row],[Data do Caixa Previsto]]))</f>
        <v>8</v>
      </c>
      <c r="N130">
        <f>IF(TbRegistroEntradas[[#This Row],[Data do Caixa Previsto]]="",0,YEAR(TbRegistroEntradas[[#This Row],[Data do Caixa Previsto]]))</f>
        <v>2018</v>
      </c>
      <c r="O130" t="str">
        <f ca="1">IF(AND(TbRegistroEntradas[[#This Row],[Data do Caixa Previsto]]&lt;TODAY(),TbRegistroEntradas[[#This Row],[Data do Caixa Realizado]]=""),"Vencida","Não Vencida")</f>
        <v>Não Vencida</v>
      </c>
      <c r="P130" t="str">
        <f>IF(TbRegistroEntradas[[#This Row],[Data da Competência]]=TbRegistroEntradas[[#This Row],[Data do Caixa Previsto]],"Vista","Prazo")</f>
        <v>Prazo</v>
      </c>
      <c r="Q13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1" spans="2:17" x14ac:dyDescent="0.25">
      <c r="B131" s="8">
        <v>43323</v>
      </c>
      <c r="C131" s="8">
        <v>43323</v>
      </c>
      <c r="D131" s="8">
        <v>43323</v>
      </c>
      <c r="E131" t="s">
        <v>23</v>
      </c>
      <c r="F131" t="s">
        <v>32</v>
      </c>
      <c r="G131" t="s">
        <v>186</v>
      </c>
      <c r="H131" s="9">
        <v>405</v>
      </c>
      <c r="I131">
        <f>IF(TbRegistroEntradas[[#This Row],[Data do Caixa Realizado]]="",0,MONTH(TbRegistroEntradas[[#This Row],[Data do Caixa Realizado]]))</f>
        <v>8</v>
      </c>
      <c r="J131">
        <f>IF(TbRegistroEntradas[[#This Row],[Data do Caixa Realizado]]="",0,YEAR(TbRegistroEntradas[[#This Row],[Data do Caixa Realizado]]))</f>
        <v>2018</v>
      </c>
      <c r="K131">
        <f>IF(TbRegistroEntradas[[#This Row],[Data da Competência]]="",0,MONTH(TbRegistroEntradas[[#This Row],[Data da Competência]]))</f>
        <v>8</v>
      </c>
      <c r="L131">
        <f>IF(TbRegistroEntradas[[#This Row],[Data da Competência]]="",0,YEAR(TbRegistroEntradas[[#This Row],[Data da Competência]]))</f>
        <v>2018</v>
      </c>
      <c r="M131">
        <f>IF(TbRegistroEntradas[[#This Row],[Data do Caixa Previsto]]="",0,MONTH(TbRegistroEntradas[[#This Row],[Data do Caixa Previsto]]))</f>
        <v>8</v>
      </c>
      <c r="N131">
        <f>IF(TbRegistroEntradas[[#This Row],[Data do Caixa Previsto]]="",0,YEAR(TbRegistroEntradas[[#This Row],[Data do Caixa Previsto]]))</f>
        <v>2018</v>
      </c>
      <c r="O131" t="str">
        <f ca="1">IF(AND(TbRegistroEntradas[[#This Row],[Data do Caixa Previsto]]&lt;TODAY(),TbRegistroEntradas[[#This Row],[Data do Caixa Realizado]]=""),"Vencida","Não Vencida")</f>
        <v>Não Vencida</v>
      </c>
      <c r="P131" t="str">
        <f>IF(TbRegistroEntradas[[#This Row],[Data da Competência]]=TbRegistroEntradas[[#This Row],[Data do Caixa Previsto]],"Vista","Prazo")</f>
        <v>Vista</v>
      </c>
      <c r="Q13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2" spans="2:17" x14ac:dyDescent="0.25">
      <c r="B132" s="8">
        <v>43360</v>
      </c>
      <c r="C132" s="8">
        <v>43326</v>
      </c>
      <c r="D132" s="8">
        <v>43360</v>
      </c>
      <c r="E132" t="s">
        <v>23</v>
      </c>
      <c r="F132" t="s">
        <v>31</v>
      </c>
      <c r="G132" t="s">
        <v>152</v>
      </c>
      <c r="H132" s="9">
        <v>3080</v>
      </c>
      <c r="I132">
        <f>IF(TbRegistroEntradas[[#This Row],[Data do Caixa Realizado]]="",0,MONTH(TbRegistroEntradas[[#This Row],[Data do Caixa Realizado]]))</f>
        <v>9</v>
      </c>
      <c r="J132">
        <f>IF(TbRegistroEntradas[[#This Row],[Data do Caixa Realizado]]="",0,YEAR(TbRegistroEntradas[[#This Row],[Data do Caixa Realizado]]))</f>
        <v>2018</v>
      </c>
      <c r="K132">
        <f>IF(TbRegistroEntradas[[#This Row],[Data da Competência]]="",0,MONTH(TbRegistroEntradas[[#This Row],[Data da Competência]]))</f>
        <v>8</v>
      </c>
      <c r="L132">
        <f>IF(TbRegistroEntradas[[#This Row],[Data da Competência]]="",0,YEAR(TbRegistroEntradas[[#This Row],[Data da Competência]]))</f>
        <v>2018</v>
      </c>
      <c r="M132">
        <f>IF(TbRegistroEntradas[[#This Row],[Data do Caixa Previsto]]="",0,MONTH(TbRegistroEntradas[[#This Row],[Data do Caixa Previsto]]))</f>
        <v>9</v>
      </c>
      <c r="N132">
        <f>IF(TbRegistroEntradas[[#This Row],[Data do Caixa Previsto]]="",0,YEAR(TbRegistroEntradas[[#This Row],[Data do Caixa Previsto]]))</f>
        <v>2018</v>
      </c>
      <c r="O132" t="str">
        <f ca="1">IF(AND(TbRegistroEntradas[[#This Row],[Data do Caixa Previsto]]&lt;TODAY(),TbRegistroEntradas[[#This Row],[Data do Caixa Realizado]]=""),"Vencida","Não Vencida")</f>
        <v>Não Vencida</v>
      </c>
      <c r="P132" t="str">
        <f>IF(TbRegistroEntradas[[#This Row],[Data da Competência]]=TbRegistroEntradas[[#This Row],[Data do Caixa Previsto]],"Vista","Prazo")</f>
        <v>Prazo</v>
      </c>
      <c r="Q13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3" spans="2:17" x14ac:dyDescent="0.25">
      <c r="B133" s="8">
        <v>43329</v>
      </c>
      <c r="C133" s="8">
        <v>43329</v>
      </c>
      <c r="D133" s="8">
        <v>43329</v>
      </c>
      <c r="E133" t="s">
        <v>23</v>
      </c>
      <c r="F133" t="s">
        <v>34</v>
      </c>
      <c r="G133" t="s">
        <v>187</v>
      </c>
      <c r="H133" s="9">
        <v>2137</v>
      </c>
      <c r="I133">
        <f>IF(TbRegistroEntradas[[#This Row],[Data do Caixa Realizado]]="",0,MONTH(TbRegistroEntradas[[#This Row],[Data do Caixa Realizado]]))</f>
        <v>8</v>
      </c>
      <c r="J133">
        <f>IF(TbRegistroEntradas[[#This Row],[Data do Caixa Realizado]]="",0,YEAR(TbRegistroEntradas[[#This Row],[Data do Caixa Realizado]]))</f>
        <v>2018</v>
      </c>
      <c r="K133">
        <f>IF(TbRegistroEntradas[[#This Row],[Data da Competência]]="",0,MONTH(TbRegistroEntradas[[#This Row],[Data da Competência]]))</f>
        <v>8</v>
      </c>
      <c r="L133">
        <f>IF(TbRegistroEntradas[[#This Row],[Data da Competência]]="",0,YEAR(TbRegistroEntradas[[#This Row],[Data da Competência]]))</f>
        <v>2018</v>
      </c>
      <c r="M133">
        <f>IF(TbRegistroEntradas[[#This Row],[Data do Caixa Previsto]]="",0,MONTH(TbRegistroEntradas[[#This Row],[Data do Caixa Previsto]]))</f>
        <v>8</v>
      </c>
      <c r="N133">
        <f>IF(TbRegistroEntradas[[#This Row],[Data do Caixa Previsto]]="",0,YEAR(TbRegistroEntradas[[#This Row],[Data do Caixa Previsto]]))</f>
        <v>2018</v>
      </c>
      <c r="O133" t="str">
        <f ca="1">IF(AND(TbRegistroEntradas[[#This Row],[Data do Caixa Previsto]]&lt;TODAY(),TbRegistroEntradas[[#This Row],[Data do Caixa Realizado]]=""),"Vencida","Não Vencida")</f>
        <v>Não Vencida</v>
      </c>
      <c r="P133" t="str">
        <f>IF(TbRegistroEntradas[[#This Row],[Data da Competência]]=TbRegistroEntradas[[#This Row],[Data do Caixa Previsto]],"Vista","Prazo")</f>
        <v>Vista</v>
      </c>
      <c r="Q13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4" spans="2:17" x14ac:dyDescent="0.25">
      <c r="B134" s="8">
        <v>43336</v>
      </c>
      <c r="C134" s="8">
        <v>43336</v>
      </c>
      <c r="D134" s="8">
        <v>43336</v>
      </c>
      <c r="E134" t="s">
        <v>23</v>
      </c>
      <c r="F134" t="s">
        <v>35</v>
      </c>
      <c r="G134" t="s">
        <v>188</v>
      </c>
      <c r="H134" s="9">
        <v>4287</v>
      </c>
      <c r="I134">
        <f>IF(TbRegistroEntradas[[#This Row],[Data do Caixa Realizado]]="",0,MONTH(TbRegistroEntradas[[#This Row],[Data do Caixa Realizado]]))</f>
        <v>8</v>
      </c>
      <c r="J134">
        <f>IF(TbRegistroEntradas[[#This Row],[Data do Caixa Realizado]]="",0,YEAR(TbRegistroEntradas[[#This Row],[Data do Caixa Realizado]]))</f>
        <v>2018</v>
      </c>
      <c r="K134">
        <f>IF(TbRegistroEntradas[[#This Row],[Data da Competência]]="",0,MONTH(TbRegistroEntradas[[#This Row],[Data da Competência]]))</f>
        <v>8</v>
      </c>
      <c r="L134">
        <f>IF(TbRegistroEntradas[[#This Row],[Data da Competência]]="",0,YEAR(TbRegistroEntradas[[#This Row],[Data da Competência]]))</f>
        <v>2018</v>
      </c>
      <c r="M134">
        <f>IF(TbRegistroEntradas[[#This Row],[Data do Caixa Previsto]]="",0,MONTH(TbRegistroEntradas[[#This Row],[Data do Caixa Previsto]]))</f>
        <v>8</v>
      </c>
      <c r="N134">
        <f>IF(TbRegistroEntradas[[#This Row],[Data do Caixa Previsto]]="",0,YEAR(TbRegistroEntradas[[#This Row],[Data do Caixa Previsto]]))</f>
        <v>2018</v>
      </c>
      <c r="O134" t="str">
        <f ca="1">IF(AND(TbRegistroEntradas[[#This Row],[Data do Caixa Previsto]]&lt;TODAY(),TbRegistroEntradas[[#This Row],[Data do Caixa Realizado]]=""),"Vencida","Não Vencida")</f>
        <v>Não Vencida</v>
      </c>
      <c r="P134" t="str">
        <f>IF(TbRegistroEntradas[[#This Row],[Data da Competência]]=TbRegistroEntradas[[#This Row],[Data do Caixa Previsto]],"Vista","Prazo")</f>
        <v>Vista</v>
      </c>
      <c r="Q13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5" spans="2:17" x14ac:dyDescent="0.25">
      <c r="B135" s="8">
        <v>43475</v>
      </c>
      <c r="C135" s="8">
        <v>43338</v>
      </c>
      <c r="D135" s="8">
        <v>43395</v>
      </c>
      <c r="E135" t="s">
        <v>23</v>
      </c>
      <c r="F135" t="s">
        <v>35</v>
      </c>
      <c r="G135" t="s">
        <v>189</v>
      </c>
      <c r="H135" s="9">
        <v>4857</v>
      </c>
      <c r="I135">
        <f>IF(TbRegistroEntradas[[#This Row],[Data do Caixa Realizado]]="",0,MONTH(TbRegistroEntradas[[#This Row],[Data do Caixa Realizado]]))</f>
        <v>1</v>
      </c>
      <c r="J135">
        <f>IF(TbRegistroEntradas[[#This Row],[Data do Caixa Realizado]]="",0,YEAR(TbRegistroEntradas[[#This Row],[Data do Caixa Realizado]]))</f>
        <v>2019</v>
      </c>
      <c r="K135">
        <f>IF(TbRegistroEntradas[[#This Row],[Data da Competência]]="",0,MONTH(TbRegistroEntradas[[#This Row],[Data da Competência]]))</f>
        <v>8</v>
      </c>
      <c r="L135">
        <f>IF(TbRegistroEntradas[[#This Row],[Data da Competência]]="",0,YEAR(TbRegistroEntradas[[#This Row],[Data da Competência]]))</f>
        <v>2018</v>
      </c>
      <c r="M135">
        <f>IF(TbRegistroEntradas[[#This Row],[Data do Caixa Previsto]]="",0,MONTH(TbRegistroEntradas[[#This Row],[Data do Caixa Previsto]]))</f>
        <v>10</v>
      </c>
      <c r="N135">
        <f>IF(TbRegistroEntradas[[#This Row],[Data do Caixa Previsto]]="",0,YEAR(TbRegistroEntradas[[#This Row],[Data do Caixa Previsto]]))</f>
        <v>2018</v>
      </c>
      <c r="O135" t="str">
        <f ca="1">IF(AND(TbRegistroEntradas[[#This Row],[Data do Caixa Previsto]]&lt;TODAY(),TbRegistroEntradas[[#This Row],[Data do Caixa Realizado]]=""),"Vencida","Não Vencida")</f>
        <v>Não Vencida</v>
      </c>
      <c r="P135" t="str">
        <f>IF(TbRegistroEntradas[[#This Row],[Data da Competência]]=TbRegistroEntradas[[#This Row],[Data do Caixa Previsto]],"Vista","Prazo")</f>
        <v>Prazo</v>
      </c>
      <c r="Q13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80</v>
      </c>
    </row>
    <row r="136" spans="2:17" x14ac:dyDescent="0.25">
      <c r="B136" s="8">
        <v>43393</v>
      </c>
      <c r="C136" s="8">
        <v>43342</v>
      </c>
      <c r="D136" s="8">
        <v>43393</v>
      </c>
      <c r="E136" t="s">
        <v>23</v>
      </c>
      <c r="F136" t="s">
        <v>34</v>
      </c>
      <c r="G136" t="s">
        <v>190</v>
      </c>
      <c r="H136" s="9">
        <v>507</v>
      </c>
      <c r="I136">
        <f>IF(TbRegistroEntradas[[#This Row],[Data do Caixa Realizado]]="",0,MONTH(TbRegistroEntradas[[#This Row],[Data do Caixa Realizado]]))</f>
        <v>10</v>
      </c>
      <c r="J136">
        <f>IF(TbRegistroEntradas[[#This Row],[Data do Caixa Realizado]]="",0,YEAR(TbRegistroEntradas[[#This Row],[Data do Caixa Realizado]]))</f>
        <v>2018</v>
      </c>
      <c r="K136">
        <f>IF(TbRegistroEntradas[[#This Row],[Data da Competência]]="",0,MONTH(TbRegistroEntradas[[#This Row],[Data da Competência]]))</f>
        <v>8</v>
      </c>
      <c r="L136">
        <f>IF(TbRegistroEntradas[[#This Row],[Data da Competência]]="",0,YEAR(TbRegistroEntradas[[#This Row],[Data da Competência]]))</f>
        <v>2018</v>
      </c>
      <c r="M136">
        <f>IF(TbRegistroEntradas[[#This Row],[Data do Caixa Previsto]]="",0,MONTH(TbRegistroEntradas[[#This Row],[Data do Caixa Previsto]]))</f>
        <v>10</v>
      </c>
      <c r="N136">
        <f>IF(TbRegistroEntradas[[#This Row],[Data do Caixa Previsto]]="",0,YEAR(TbRegistroEntradas[[#This Row],[Data do Caixa Previsto]]))</f>
        <v>2018</v>
      </c>
      <c r="O136" t="str">
        <f ca="1">IF(AND(TbRegistroEntradas[[#This Row],[Data do Caixa Previsto]]&lt;TODAY(),TbRegistroEntradas[[#This Row],[Data do Caixa Realizado]]=""),"Vencida","Não Vencida")</f>
        <v>Não Vencida</v>
      </c>
      <c r="P136" t="str">
        <f>IF(TbRegistroEntradas[[#This Row],[Data da Competência]]=TbRegistroEntradas[[#This Row],[Data do Caixa Previsto]],"Vista","Prazo")</f>
        <v>Prazo</v>
      </c>
      <c r="Q13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7" spans="2:17" x14ac:dyDescent="0.25">
      <c r="B137" s="8">
        <v>43405</v>
      </c>
      <c r="C137" s="8">
        <v>43343</v>
      </c>
      <c r="D137" s="8">
        <v>43354</v>
      </c>
      <c r="E137" t="s">
        <v>23</v>
      </c>
      <c r="F137" t="s">
        <v>32</v>
      </c>
      <c r="G137" t="s">
        <v>191</v>
      </c>
      <c r="H137" s="9">
        <v>2467</v>
      </c>
      <c r="I137">
        <f>IF(TbRegistroEntradas[[#This Row],[Data do Caixa Realizado]]="",0,MONTH(TbRegistroEntradas[[#This Row],[Data do Caixa Realizado]]))</f>
        <v>11</v>
      </c>
      <c r="J137">
        <f>IF(TbRegistroEntradas[[#This Row],[Data do Caixa Realizado]]="",0,YEAR(TbRegistroEntradas[[#This Row],[Data do Caixa Realizado]]))</f>
        <v>2018</v>
      </c>
      <c r="K137">
        <f>IF(TbRegistroEntradas[[#This Row],[Data da Competência]]="",0,MONTH(TbRegistroEntradas[[#This Row],[Data da Competência]]))</f>
        <v>8</v>
      </c>
      <c r="L137">
        <f>IF(TbRegistroEntradas[[#This Row],[Data da Competência]]="",0,YEAR(TbRegistroEntradas[[#This Row],[Data da Competência]]))</f>
        <v>2018</v>
      </c>
      <c r="M137">
        <f>IF(TbRegistroEntradas[[#This Row],[Data do Caixa Previsto]]="",0,MONTH(TbRegistroEntradas[[#This Row],[Data do Caixa Previsto]]))</f>
        <v>9</v>
      </c>
      <c r="N137">
        <f>IF(TbRegistroEntradas[[#This Row],[Data do Caixa Previsto]]="",0,YEAR(TbRegistroEntradas[[#This Row],[Data do Caixa Previsto]]))</f>
        <v>2018</v>
      </c>
      <c r="O137" t="str">
        <f ca="1">IF(AND(TbRegistroEntradas[[#This Row],[Data do Caixa Previsto]]&lt;TODAY(),TbRegistroEntradas[[#This Row],[Data do Caixa Realizado]]=""),"Vencida","Não Vencida")</f>
        <v>Não Vencida</v>
      </c>
      <c r="P137" t="str">
        <f>IF(TbRegistroEntradas[[#This Row],[Data da Competência]]=TbRegistroEntradas[[#This Row],[Data do Caixa Previsto]],"Vista","Prazo")</f>
        <v>Prazo</v>
      </c>
      <c r="Q13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51</v>
      </c>
    </row>
    <row r="138" spans="2:17" x14ac:dyDescent="0.25">
      <c r="B138" s="8">
        <v>43370</v>
      </c>
      <c r="C138" s="8">
        <v>43344</v>
      </c>
      <c r="D138" s="8">
        <v>43370</v>
      </c>
      <c r="E138" t="s">
        <v>23</v>
      </c>
      <c r="F138" t="s">
        <v>34</v>
      </c>
      <c r="G138" t="s">
        <v>192</v>
      </c>
      <c r="H138" s="9">
        <v>4253</v>
      </c>
      <c r="I138">
        <f>IF(TbRegistroEntradas[[#This Row],[Data do Caixa Realizado]]="",0,MONTH(TbRegistroEntradas[[#This Row],[Data do Caixa Realizado]]))</f>
        <v>9</v>
      </c>
      <c r="J138">
        <f>IF(TbRegistroEntradas[[#This Row],[Data do Caixa Realizado]]="",0,YEAR(TbRegistroEntradas[[#This Row],[Data do Caixa Realizado]]))</f>
        <v>2018</v>
      </c>
      <c r="K138">
        <f>IF(TbRegistroEntradas[[#This Row],[Data da Competência]]="",0,MONTH(TbRegistroEntradas[[#This Row],[Data da Competência]]))</f>
        <v>9</v>
      </c>
      <c r="L138">
        <f>IF(TbRegistroEntradas[[#This Row],[Data da Competência]]="",0,YEAR(TbRegistroEntradas[[#This Row],[Data da Competência]]))</f>
        <v>2018</v>
      </c>
      <c r="M138">
        <f>IF(TbRegistroEntradas[[#This Row],[Data do Caixa Previsto]]="",0,MONTH(TbRegistroEntradas[[#This Row],[Data do Caixa Previsto]]))</f>
        <v>9</v>
      </c>
      <c r="N138">
        <f>IF(TbRegistroEntradas[[#This Row],[Data do Caixa Previsto]]="",0,YEAR(TbRegistroEntradas[[#This Row],[Data do Caixa Previsto]]))</f>
        <v>2018</v>
      </c>
      <c r="O138" t="str">
        <f ca="1">IF(AND(TbRegistroEntradas[[#This Row],[Data do Caixa Previsto]]&lt;TODAY(),TbRegistroEntradas[[#This Row],[Data do Caixa Realizado]]=""),"Vencida","Não Vencida")</f>
        <v>Não Vencida</v>
      </c>
      <c r="P138" t="str">
        <f>IF(TbRegistroEntradas[[#This Row],[Data da Competência]]=TbRegistroEntradas[[#This Row],[Data do Caixa Previsto]],"Vista","Prazo")</f>
        <v>Prazo</v>
      </c>
      <c r="Q13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39" spans="2:17" x14ac:dyDescent="0.25">
      <c r="B139" s="8">
        <v>43350</v>
      </c>
      <c r="C139" s="8">
        <v>43350</v>
      </c>
      <c r="D139" s="8">
        <v>43350</v>
      </c>
      <c r="E139" t="s">
        <v>23</v>
      </c>
      <c r="F139" t="s">
        <v>35</v>
      </c>
      <c r="G139" t="s">
        <v>193</v>
      </c>
      <c r="H139" s="9">
        <v>2391</v>
      </c>
      <c r="I139">
        <f>IF(TbRegistroEntradas[[#This Row],[Data do Caixa Realizado]]="",0,MONTH(TbRegistroEntradas[[#This Row],[Data do Caixa Realizado]]))</f>
        <v>9</v>
      </c>
      <c r="J139">
        <f>IF(TbRegistroEntradas[[#This Row],[Data do Caixa Realizado]]="",0,YEAR(TbRegistroEntradas[[#This Row],[Data do Caixa Realizado]]))</f>
        <v>2018</v>
      </c>
      <c r="K139">
        <f>IF(TbRegistroEntradas[[#This Row],[Data da Competência]]="",0,MONTH(TbRegistroEntradas[[#This Row],[Data da Competência]]))</f>
        <v>9</v>
      </c>
      <c r="L139">
        <f>IF(TbRegistroEntradas[[#This Row],[Data da Competência]]="",0,YEAR(TbRegistroEntradas[[#This Row],[Data da Competência]]))</f>
        <v>2018</v>
      </c>
      <c r="M139">
        <f>IF(TbRegistroEntradas[[#This Row],[Data do Caixa Previsto]]="",0,MONTH(TbRegistroEntradas[[#This Row],[Data do Caixa Previsto]]))</f>
        <v>9</v>
      </c>
      <c r="N139">
        <f>IF(TbRegistroEntradas[[#This Row],[Data do Caixa Previsto]]="",0,YEAR(TbRegistroEntradas[[#This Row],[Data do Caixa Previsto]]))</f>
        <v>2018</v>
      </c>
      <c r="O139" t="str">
        <f ca="1">IF(AND(TbRegistroEntradas[[#This Row],[Data do Caixa Previsto]]&lt;TODAY(),TbRegistroEntradas[[#This Row],[Data do Caixa Realizado]]=""),"Vencida","Não Vencida")</f>
        <v>Não Vencida</v>
      </c>
      <c r="P139" t="str">
        <f>IF(TbRegistroEntradas[[#This Row],[Data da Competência]]=TbRegistroEntradas[[#This Row],[Data do Caixa Previsto]],"Vista","Prazo")</f>
        <v>Vista</v>
      </c>
      <c r="Q13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0" spans="2:17" x14ac:dyDescent="0.25">
      <c r="B140" s="8">
        <v>43365</v>
      </c>
      <c r="C140" s="8">
        <v>43352</v>
      </c>
      <c r="D140" s="8">
        <v>43365</v>
      </c>
      <c r="E140" t="s">
        <v>23</v>
      </c>
      <c r="F140" t="s">
        <v>34</v>
      </c>
      <c r="G140" t="s">
        <v>194</v>
      </c>
      <c r="H140" s="9">
        <v>3669</v>
      </c>
      <c r="I140">
        <f>IF(TbRegistroEntradas[[#This Row],[Data do Caixa Realizado]]="",0,MONTH(TbRegistroEntradas[[#This Row],[Data do Caixa Realizado]]))</f>
        <v>9</v>
      </c>
      <c r="J140">
        <f>IF(TbRegistroEntradas[[#This Row],[Data do Caixa Realizado]]="",0,YEAR(TbRegistroEntradas[[#This Row],[Data do Caixa Realizado]]))</f>
        <v>2018</v>
      </c>
      <c r="K140">
        <f>IF(TbRegistroEntradas[[#This Row],[Data da Competência]]="",0,MONTH(TbRegistroEntradas[[#This Row],[Data da Competência]]))</f>
        <v>9</v>
      </c>
      <c r="L140">
        <f>IF(TbRegistroEntradas[[#This Row],[Data da Competência]]="",0,YEAR(TbRegistroEntradas[[#This Row],[Data da Competência]]))</f>
        <v>2018</v>
      </c>
      <c r="M140">
        <f>IF(TbRegistroEntradas[[#This Row],[Data do Caixa Previsto]]="",0,MONTH(TbRegistroEntradas[[#This Row],[Data do Caixa Previsto]]))</f>
        <v>9</v>
      </c>
      <c r="N140">
        <f>IF(TbRegistroEntradas[[#This Row],[Data do Caixa Previsto]]="",0,YEAR(TbRegistroEntradas[[#This Row],[Data do Caixa Previsto]]))</f>
        <v>2018</v>
      </c>
      <c r="O140" t="str">
        <f ca="1">IF(AND(TbRegistroEntradas[[#This Row],[Data do Caixa Previsto]]&lt;TODAY(),TbRegistroEntradas[[#This Row],[Data do Caixa Realizado]]=""),"Vencida","Não Vencida")</f>
        <v>Não Vencida</v>
      </c>
      <c r="P140" t="str">
        <f>IF(TbRegistroEntradas[[#This Row],[Data da Competência]]=TbRegistroEntradas[[#This Row],[Data do Caixa Previsto]],"Vista","Prazo")</f>
        <v>Prazo</v>
      </c>
      <c r="Q14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1" spans="2:17" x14ac:dyDescent="0.25">
      <c r="B141" s="8">
        <v>43383</v>
      </c>
      <c r="C141" s="8">
        <v>43355</v>
      </c>
      <c r="D141" s="8">
        <v>43383</v>
      </c>
      <c r="E141" t="s">
        <v>23</v>
      </c>
      <c r="F141" t="s">
        <v>34</v>
      </c>
      <c r="G141" t="s">
        <v>195</v>
      </c>
      <c r="H141" s="9">
        <v>1207</v>
      </c>
      <c r="I141">
        <f>IF(TbRegistroEntradas[[#This Row],[Data do Caixa Realizado]]="",0,MONTH(TbRegistroEntradas[[#This Row],[Data do Caixa Realizado]]))</f>
        <v>10</v>
      </c>
      <c r="J141">
        <f>IF(TbRegistroEntradas[[#This Row],[Data do Caixa Realizado]]="",0,YEAR(TbRegistroEntradas[[#This Row],[Data do Caixa Realizado]]))</f>
        <v>2018</v>
      </c>
      <c r="K141">
        <f>IF(TbRegistroEntradas[[#This Row],[Data da Competência]]="",0,MONTH(TbRegistroEntradas[[#This Row],[Data da Competência]]))</f>
        <v>9</v>
      </c>
      <c r="L141">
        <f>IF(TbRegistroEntradas[[#This Row],[Data da Competência]]="",0,YEAR(TbRegistroEntradas[[#This Row],[Data da Competência]]))</f>
        <v>2018</v>
      </c>
      <c r="M141">
        <f>IF(TbRegistroEntradas[[#This Row],[Data do Caixa Previsto]]="",0,MONTH(TbRegistroEntradas[[#This Row],[Data do Caixa Previsto]]))</f>
        <v>10</v>
      </c>
      <c r="N141">
        <f>IF(TbRegistroEntradas[[#This Row],[Data do Caixa Previsto]]="",0,YEAR(TbRegistroEntradas[[#This Row],[Data do Caixa Previsto]]))</f>
        <v>2018</v>
      </c>
      <c r="O141" t="str">
        <f ca="1">IF(AND(TbRegistroEntradas[[#This Row],[Data do Caixa Previsto]]&lt;TODAY(),TbRegistroEntradas[[#This Row],[Data do Caixa Realizado]]=""),"Vencida","Não Vencida")</f>
        <v>Não Vencida</v>
      </c>
      <c r="P141" t="str">
        <f>IF(TbRegistroEntradas[[#This Row],[Data da Competência]]=TbRegistroEntradas[[#This Row],[Data do Caixa Previsto]],"Vista","Prazo")</f>
        <v>Prazo</v>
      </c>
      <c r="Q14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2" spans="2:17" x14ac:dyDescent="0.25">
      <c r="B142" s="8">
        <v>43412</v>
      </c>
      <c r="C142" s="8">
        <v>43361</v>
      </c>
      <c r="D142" s="8">
        <v>43412</v>
      </c>
      <c r="E142" t="s">
        <v>23</v>
      </c>
      <c r="F142" t="s">
        <v>32</v>
      </c>
      <c r="G142" t="s">
        <v>196</v>
      </c>
      <c r="H142" s="9">
        <v>2539</v>
      </c>
      <c r="I142">
        <f>IF(TbRegistroEntradas[[#This Row],[Data do Caixa Realizado]]="",0,MONTH(TbRegistroEntradas[[#This Row],[Data do Caixa Realizado]]))</f>
        <v>11</v>
      </c>
      <c r="J142">
        <f>IF(TbRegistroEntradas[[#This Row],[Data do Caixa Realizado]]="",0,YEAR(TbRegistroEntradas[[#This Row],[Data do Caixa Realizado]]))</f>
        <v>2018</v>
      </c>
      <c r="K142">
        <f>IF(TbRegistroEntradas[[#This Row],[Data da Competência]]="",0,MONTH(TbRegistroEntradas[[#This Row],[Data da Competência]]))</f>
        <v>9</v>
      </c>
      <c r="L142">
        <f>IF(TbRegistroEntradas[[#This Row],[Data da Competência]]="",0,YEAR(TbRegistroEntradas[[#This Row],[Data da Competência]]))</f>
        <v>2018</v>
      </c>
      <c r="M142">
        <f>IF(TbRegistroEntradas[[#This Row],[Data do Caixa Previsto]]="",0,MONTH(TbRegistroEntradas[[#This Row],[Data do Caixa Previsto]]))</f>
        <v>11</v>
      </c>
      <c r="N142">
        <f>IF(TbRegistroEntradas[[#This Row],[Data do Caixa Previsto]]="",0,YEAR(TbRegistroEntradas[[#This Row],[Data do Caixa Previsto]]))</f>
        <v>2018</v>
      </c>
      <c r="O142" t="str">
        <f ca="1">IF(AND(TbRegistroEntradas[[#This Row],[Data do Caixa Previsto]]&lt;TODAY(),TbRegistroEntradas[[#This Row],[Data do Caixa Realizado]]=""),"Vencida","Não Vencida")</f>
        <v>Não Vencida</v>
      </c>
      <c r="P142" t="str">
        <f>IF(TbRegistroEntradas[[#This Row],[Data da Competência]]=TbRegistroEntradas[[#This Row],[Data do Caixa Previsto]],"Vista","Prazo")</f>
        <v>Prazo</v>
      </c>
      <c r="Q14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3" spans="2:17" x14ac:dyDescent="0.25">
      <c r="B143" s="8">
        <v>43374</v>
      </c>
      <c r="C143" s="8">
        <v>43363</v>
      </c>
      <c r="D143" s="8">
        <v>43374</v>
      </c>
      <c r="E143" t="s">
        <v>23</v>
      </c>
      <c r="F143" t="s">
        <v>33</v>
      </c>
      <c r="G143" t="s">
        <v>197</v>
      </c>
      <c r="H143" s="9">
        <v>2895</v>
      </c>
      <c r="I143">
        <f>IF(TbRegistroEntradas[[#This Row],[Data do Caixa Realizado]]="",0,MONTH(TbRegistroEntradas[[#This Row],[Data do Caixa Realizado]]))</f>
        <v>10</v>
      </c>
      <c r="J143">
        <f>IF(TbRegistroEntradas[[#This Row],[Data do Caixa Realizado]]="",0,YEAR(TbRegistroEntradas[[#This Row],[Data do Caixa Realizado]]))</f>
        <v>2018</v>
      </c>
      <c r="K143">
        <f>IF(TbRegistroEntradas[[#This Row],[Data da Competência]]="",0,MONTH(TbRegistroEntradas[[#This Row],[Data da Competência]]))</f>
        <v>9</v>
      </c>
      <c r="L143">
        <f>IF(TbRegistroEntradas[[#This Row],[Data da Competência]]="",0,YEAR(TbRegistroEntradas[[#This Row],[Data da Competência]]))</f>
        <v>2018</v>
      </c>
      <c r="M143">
        <f>IF(TbRegistroEntradas[[#This Row],[Data do Caixa Previsto]]="",0,MONTH(TbRegistroEntradas[[#This Row],[Data do Caixa Previsto]]))</f>
        <v>10</v>
      </c>
      <c r="N143">
        <f>IF(TbRegistroEntradas[[#This Row],[Data do Caixa Previsto]]="",0,YEAR(TbRegistroEntradas[[#This Row],[Data do Caixa Previsto]]))</f>
        <v>2018</v>
      </c>
      <c r="O143" t="str">
        <f ca="1">IF(AND(TbRegistroEntradas[[#This Row],[Data do Caixa Previsto]]&lt;TODAY(),TbRegistroEntradas[[#This Row],[Data do Caixa Realizado]]=""),"Vencida","Não Vencida")</f>
        <v>Não Vencida</v>
      </c>
      <c r="P143" t="str">
        <f>IF(TbRegistroEntradas[[#This Row],[Data da Competência]]=TbRegistroEntradas[[#This Row],[Data do Caixa Previsto]],"Vista","Prazo")</f>
        <v>Prazo</v>
      </c>
      <c r="Q14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4" spans="2:17" x14ac:dyDescent="0.25">
      <c r="B144" s="8">
        <v>43422</v>
      </c>
      <c r="C144" s="8">
        <v>43364</v>
      </c>
      <c r="D144" s="8">
        <v>43364</v>
      </c>
      <c r="E144" t="s">
        <v>23</v>
      </c>
      <c r="F144" t="s">
        <v>34</v>
      </c>
      <c r="G144" t="s">
        <v>198</v>
      </c>
      <c r="H144" s="9">
        <v>2106</v>
      </c>
      <c r="I144">
        <f>IF(TbRegistroEntradas[[#This Row],[Data do Caixa Realizado]]="",0,MONTH(TbRegistroEntradas[[#This Row],[Data do Caixa Realizado]]))</f>
        <v>11</v>
      </c>
      <c r="J144">
        <f>IF(TbRegistroEntradas[[#This Row],[Data do Caixa Realizado]]="",0,YEAR(TbRegistroEntradas[[#This Row],[Data do Caixa Realizado]]))</f>
        <v>2018</v>
      </c>
      <c r="K144">
        <f>IF(TbRegistroEntradas[[#This Row],[Data da Competência]]="",0,MONTH(TbRegistroEntradas[[#This Row],[Data da Competência]]))</f>
        <v>9</v>
      </c>
      <c r="L144">
        <f>IF(TbRegistroEntradas[[#This Row],[Data da Competência]]="",0,YEAR(TbRegistroEntradas[[#This Row],[Data da Competência]]))</f>
        <v>2018</v>
      </c>
      <c r="M144">
        <f>IF(TbRegistroEntradas[[#This Row],[Data do Caixa Previsto]]="",0,MONTH(TbRegistroEntradas[[#This Row],[Data do Caixa Previsto]]))</f>
        <v>9</v>
      </c>
      <c r="N144">
        <f>IF(TbRegistroEntradas[[#This Row],[Data do Caixa Previsto]]="",0,YEAR(TbRegistroEntradas[[#This Row],[Data do Caixa Previsto]]))</f>
        <v>2018</v>
      </c>
      <c r="O144" t="str">
        <f ca="1">IF(AND(TbRegistroEntradas[[#This Row],[Data do Caixa Previsto]]&lt;TODAY(),TbRegistroEntradas[[#This Row],[Data do Caixa Realizado]]=""),"Vencida","Não Vencida")</f>
        <v>Não Vencida</v>
      </c>
      <c r="P144" t="str">
        <f>IF(TbRegistroEntradas[[#This Row],[Data da Competência]]=TbRegistroEntradas[[#This Row],[Data do Caixa Previsto]],"Vista","Prazo")</f>
        <v>Vista</v>
      </c>
      <c r="Q14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145" spans="2:17" x14ac:dyDescent="0.25">
      <c r="B145" s="8">
        <v>43405</v>
      </c>
      <c r="C145" s="8">
        <v>43366</v>
      </c>
      <c r="D145" s="8">
        <v>43405</v>
      </c>
      <c r="E145" t="s">
        <v>23</v>
      </c>
      <c r="F145" t="s">
        <v>33</v>
      </c>
      <c r="G145" t="s">
        <v>199</v>
      </c>
      <c r="H145" s="9">
        <v>3742</v>
      </c>
      <c r="I145">
        <f>IF(TbRegistroEntradas[[#This Row],[Data do Caixa Realizado]]="",0,MONTH(TbRegistroEntradas[[#This Row],[Data do Caixa Realizado]]))</f>
        <v>11</v>
      </c>
      <c r="J145">
        <f>IF(TbRegistroEntradas[[#This Row],[Data do Caixa Realizado]]="",0,YEAR(TbRegistroEntradas[[#This Row],[Data do Caixa Realizado]]))</f>
        <v>2018</v>
      </c>
      <c r="K145">
        <f>IF(TbRegistroEntradas[[#This Row],[Data da Competência]]="",0,MONTH(TbRegistroEntradas[[#This Row],[Data da Competência]]))</f>
        <v>9</v>
      </c>
      <c r="L145">
        <f>IF(TbRegistroEntradas[[#This Row],[Data da Competência]]="",0,YEAR(TbRegistroEntradas[[#This Row],[Data da Competência]]))</f>
        <v>2018</v>
      </c>
      <c r="M145">
        <f>IF(TbRegistroEntradas[[#This Row],[Data do Caixa Previsto]]="",0,MONTH(TbRegistroEntradas[[#This Row],[Data do Caixa Previsto]]))</f>
        <v>11</v>
      </c>
      <c r="N145">
        <f>IF(TbRegistroEntradas[[#This Row],[Data do Caixa Previsto]]="",0,YEAR(TbRegistroEntradas[[#This Row],[Data do Caixa Previsto]]))</f>
        <v>2018</v>
      </c>
      <c r="O145" t="str">
        <f ca="1">IF(AND(TbRegistroEntradas[[#This Row],[Data do Caixa Previsto]]&lt;TODAY(),TbRegistroEntradas[[#This Row],[Data do Caixa Realizado]]=""),"Vencida","Não Vencida")</f>
        <v>Não Vencida</v>
      </c>
      <c r="P145" t="str">
        <f>IF(TbRegistroEntradas[[#This Row],[Data da Competência]]=TbRegistroEntradas[[#This Row],[Data do Caixa Previsto]],"Vista","Prazo")</f>
        <v>Prazo</v>
      </c>
      <c r="Q14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6" spans="2:17" x14ac:dyDescent="0.25">
      <c r="B146" s="8">
        <v>43369</v>
      </c>
      <c r="C146" s="8">
        <v>43369</v>
      </c>
      <c r="D146" s="8">
        <v>43369</v>
      </c>
      <c r="E146" t="s">
        <v>23</v>
      </c>
      <c r="F146" t="s">
        <v>32</v>
      </c>
      <c r="G146" t="s">
        <v>200</v>
      </c>
      <c r="H146" s="9">
        <v>3222</v>
      </c>
      <c r="I146">
        <f>IF(TbRegistroEntradas[[#This Row],[Data do Caixa Realizado]]="",0,MONTH(TbRegistroEntradas[[#This Row],[Data do Caixa Realizado]]))</f>
        <v>9</v>
      </c>
      <c r="J146">
        <f>IF(TbRegistroEntradas[[#This Row],[Data do Caixa Realizado]]="",0,YEAR(TbRegistroEntradas[[#This Row],[Data do Caixa Realizado]]))</f>
        <v>2018</v>
      </c>
      <c r="K146">
        <f>IF(TbRegistroEntradas[[#This Row],[Data da Competência]]="",0,MONTH(TbRegistroEntradas[[#This Row],[Data da Competência]]))</f>
        <v>9</v>
      </c>
      <c r="L146">
        <f>IF(TbRegistroEntradas[[#This Row],[Data da Competência]]="",0,YEAR(TbRegistroEntradas[[#This Row],[Data da Competência]]))</f>
        <v>2018</v>
      </c>
      <c r="M146">
        <f>IF(TbRegistroEntradas[[#This Row],[Data do Caixa Previsto]]="",0,MONTH(TbRegistroEntradas[[#This Row],[Data do Caixa Previsto]]))</f>
        <v>9</v>
      </c>
      <c r="N146">
        <f>IF(TbRegistroEntradas[[#This Row],[Data do Caixa Previsto]]="",0,YEAR(TbRegistroEntradas[[#This Row],[Data do Caixa Previsto]]))</f>
        <v>2018</v>
      </c>
      <c r="O146" t="str">
        <f ca="1">IF(AND(TbRegistroEntradas[[#This Row],[Data do Caixa Previsto]]&lt;TODAY(),TbRegistroEntradas[[#This Row],[Data do Caixa Realizado]]=""),"Vencida","Não Vencida")</f>
        <v>Não Vencida</v>
      </c>
      <c r="P146" t="str">
        <f>IF(TbRegistroEntradas[[#This Row],[Data da Competência]]=TbRegistroEntradas[[#This Row],[Data do Caixa Previsto]],"Vista","Prazo")</f>
        <v>Vista</v>
      </c>
      <c r="Q14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7" spans="2:17" x14ac:dyDescent="0.25">
      <c r="B147" s="8">
        <v>43392</v>
      </c>
      <c r="C147" s="8">
        <v>43374</v>
      </c>
      <c r="D147" s="8">
        <v>43392</v>
      </c>
      <c r="E147" t="s">
        <v>23</v>
      </c>
      <c r="F147" t="s">
        <v>34</v>
      </c>
      <c r="G147" t="s">
        <v>201</v>
      </c>
      <c r="H147" s="9">
        <v>673</v>
      </c>
      <c r="I147">
        <f>IF(TbRegistroEntradas[[#This Row],[Data do Caixa Realizado]]="",0,MONTH(TbRegistroEntradas[[#This Row],[Data do Caixa Realizado]]))</f>
        <v>10</v>
      </c>
      <c r="J147">
        <f>IF(TbRegistroEntradas[[#This Row],[Data do Caixa Realizado]]="",0,YEAR(TbRegistroEntradas[[#This Row],[Data do Caixa Realizado]]))</f>
        <v>2018</v>
      </c>
      <c r="K147">
        <f>IF(TbRegistroEntradas[[#This Row],[Data da Competência]]="",0,MONTH(TbRegistroEntradas[[#This Row],[Data da Competência]]))</f>
        <v>10</v>
      </c>
      <c r="L147">
        <f>IF(TbRegistroEntradas[[#This Row],[Data da Competência]]="",0,YEAR(TbRegistroEntradas[[#This Row],[Data da Competência]]))</f>
        <v>2018</v>
      </c>
      <c r="M147">
        <f>IF(TbRegistroEntradas[[#This Row],[Data do Caixa Previsto]]="",0,MONTH(TbRegistroEntradas[[#This Row],[Data do Caixa Previsto]]))</f>
        <v>10</v>
      </c>
      <c r="N147">
        <f>IF(TbRegistroEntradas[[#This Row],[Data do Caixa Previsto]]="",0,YEAR(TbRegistroEntradas[[#This Row],[Data do Caixa Previsto]]))</f>
        <v>2018</v>
      </c>
      <c r="O147" t="str">
        <f ca="1">IF(AND(TbRegistroEntradas[[#This Row],[Data do Caixa Previsto]]&lt;TODAY(),TbRegistroEntradas[[#This Row],[Data do Caixa Realizado]]=""),"Vencida","Não Vencida")</f>
        <v>Não Vencida</v>
      </c>
      <c r="P147" t="str">
        <f>IF(TbRegistroEntradas[[#This Row],[Data da Competência]]=TbRegistroEntradas[[#This Row],[Data do Caixa Previsto]],"Vista","Prazo")</f>
        <v>Prazo</v>
      </c>
      <c r="Q14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8" spans="2:17" x14ac:dyDescent="0.25">
      <c r="B148" s="8">
        <v>43399</v>
      </c>
      <c r="C148" s="8">
        <v>43378</v>
      </c>
      <c r="D148" s="8">
        <v>43399</v>
      </c>
      <c r="E148" t="s">
        <v>23</v>
      </c>
      <c r="F148" t="s">
        <v>31</v>
      </c>
      <c r="G148" t="s">
        <v>202</v>
      </c>
      <c r="H148" s="9">
        <v>4922</v>
      </c>
      <c r="I148">
        <f>IF(TbRegistroEntradas[[#This Row],[Data do Caixa Realizado]]="",0,MONTH(TbRegistroEntradas[[#This Row],[Data do Caixa Realizado]]))</f>
        <v>10</v>
      </c>
      <c r="J148">
        <f>IF(TbRegistroEntradas[[#This Row],[Data do Caixa Realizado]]="",0,YEAR(TbRegistroEntradas[[#This Row],[Data do Caixa Realizado]]))</f>
        <v>2018</v>
      </c>
      <c r="K148">
        <f>IF(TbRegistroEntradas[[#This Row],[Data da Competência]]="",0,MONTH(TbRegistroEntradas[[#This Row],[Data da Competência]]))</f>
        <v>10</v>
      </c>
      <c r="L148">
        <f>IF(TbRegistroEntradas[[#This Row],[Data da Competência]]="",0,YEAR(TbRegistroEntradas[[#This Row],[Data da Competência]]))</f>
        <v>2018</v>
      </c>
      <c r="M148">
        <f>IF(TbRegistroEntradas[[#This Row],[Data do Caixa Previsto]]="",0,MONTH(TbRegistroEntradas[[#This Row],[Data do Caixa Previsto]]))</f>
        <v>10</v>
      </c>
      <c r="N148">
        <f>IF(TbRegistroEntradas[[#This Row],[Data do Caixa Previsto]]="",0,YEAR(TbRegistroEntradas[[#This Row],[Data do Caixa Previsto]]))</f>
        <v>2018</v>
      </c>
      <c r="O148" t="str">
        <f ca="1">IF(AND(TbRegistroEntradas[[#This Row],[Data do Caixa Previsto]]&lt;TODAY(),TbRegistroEntradas[[#This Row],[Data do Caixa Realizado]]=""),"Vencida","Não Vencida")</f>
        <v>Não Vencida</v>
      </c>
      <c r="P148" t="str">
        <f>IF(TbRegistroEntradas[[#This Row],[Data da Competência]]=TbRegistroEntradas[[#This Row],[Data do Caixa Previsto]],"Vista","Prazo")</f>
        <v>Prazo</v>
      </c>
      <c r="Q14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49" spans="2:17" x14ac:dyDescent="0.25">
      <c r="B149" s="8">
        <v>43432</v>
      </c>
      <c r="C149" s="8">
        <v>43382</v>
      </c>
      <c r="D149" s="8">
        <v>43432</v>
      </c>
      <c r="E149" t="s">
        <v>23</v>
      </c>
      <c r="F149" t="s">
        <v>35</v>
      </c>
      <c r="G149" t="s">
        <v>203</v>
      </c>
      <c r="H149" s="9">
        <v>1688</v>
      </c>
      <c r="I149">
        <f>IF(TbRegistroEntradas[[#This Row],[Data do Caixa Realizado]]="",0,MONTH(TbRegistroEntradas[[#This Row],[Data do Caixa Realizado]]))</f>
        <v>11</v>
      </c>
      <c r="J149">
        <f>IF(TbRegistroEntradas[[#This Row],[Data do Caixa Realizado]]="",0,YEAR(TbRegistroEntradas[[#This Row],[Data do Caixa Realizado]]))</f>
        <v>2018</v>
      </c>
      <c r="K149">
        <f>IF(TbRegistroEntradas[[#This Row],[Data da Competência]]="",0,MONTH(TbRegistroEntradas[[#This Row],[Data da Competência]]))</f>
        <v>10</v>
      </c>
      <c r="L149">
        <f>IF(TbRegistroEntradas[[#This Row],[Data da Competência]]="",0,YEAR(TbRegistroEntradas[[#This Row],[Data da Competência]]))</f>
        <v>2018</v>
      </c>
      <c r="M149">
        <f>IF(TbRegistroEntradas[[#This Row],[Data do Caixa Previsto]]="",0,MONTH(TbRegistroEntradas[[#This Row],[Data do Caixa Previsto]]))</f>
        <v>11</v>
      </c>
      <c r="N149">
        <f>IF(TbRegistroEntradas[[#This Row],[Data do Caixa Previsto]]="",0,YEAR(TbRegistroEntradas[[#This Row],[Data do Caixa Previsto]]))</f>
        <v>2018</v>
      </c>
      <c r="O149" t="str">
        <f ca="1">IF(AND(TbRegistroEntradas[[#This Row],[Data do Caixa Previsto]]&lt;TODAY(),TbRegistroEntradas[[#This Row],[Data do Caixa Realizado]]=""),"Vencida","Não Vencida")</f>
        <v>Não Vencida</v>
      </c>
      <c r="P149" t="str">
        <f>IF(TbRegistroEntradas[[#This Row],[Data da Competência]]=TbRegistroEntradas[[#This Row],[Data do Caixa Previsto]],"Vista","Prazo")</f>
        <v>Prazo</v>
      </c>
      <c r="Q14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0" spans="2:17" x14ac:dyDescent="0.25">
      <c r="B150" s="8">
        <v>43382</v>
      </c>
      <c r="C150" s="8">
        <v>43382</v>
      </c>
      <c r="D150" s="8">
        <v>43382</v>
      </c>
      <c r="E150" t="s">
        <v>23</v>
      </c>
      <c r="F150" t="s">
        <v>35</v>
      </c>
      <c r="G150" t="s">
        <v>204</v>
      </c>
      <c r="H150" s="9">
        <v>979</v>
      </c>
      <c r="I150">
        <f>IF(TbRegistroEntradas[[#This Row],[Data do Caixa Realizado]]="",0,MONTH(TbRegistroEntradas[[#This Row],[Data do Caixa Realizado]]))</f>
        <v>10</v>
      </c>
      <c r="J150">
        <f>IF(TbRegistroEntradas[[#This Row],[Data do Caixa Realizado]]="",0,YEAR(TbRegistroEntradas[[#This Row],[Data do Caixa Realizado]]))</f>
        <v>2018</v>
      </c>
      <c r="K150">
        <f>IF(TbRegistroEntradas[[#This Row],[Data da Competência]]="",0,MONTH(TbRegistroEntradas[[#This Row],[Data da Competência]]))</f>
        <v>10</v>
      </c>
      <c r="L150">
        <f>IF(TbRegistroEntradas[[#This Row],[Data da Competência]]="",0,YEAR(TbRegistroEntradas[[#This Row],[Data da Competência]]))</f>
        <v>2018</v>
      </c>
      <c r="M150">
        <f>IF(TbRegistroEntradas[[#This Row],[Data do Caixa Previsto]]="",0,MONTH(TbRegistroEntradas[[#This Row],[Data do Caixa Previsto]]))</f>
        <v>10</v>
      </c>
      <c r="N150">
        <f>IF(TbRegistroEntradas[[#This Row],[Data do Caixa Previsto]]="",0,YEAR(TbRegistroEntradas[[#This Row],[Data do Caixa Previsto]]))</f>
        <v>2018</v>
      </c>
      <c r="O150" t="str">
        <f ca="1">IF(AND(TbRegistroEntradas[[#This Row],[Data do Caixa Previsto]]&lt;TODAY(),TbRegistroEntradas[[#This Row],[Data do Caixa Realizado]]=""),"Vencida","Não Vencida")</f>
        <v>Não Vencida</v>
      </c>
      <c r="P150" t="str">
        <f>IF(TbRegistroEntradas[[#This Row],[Data da Competência]]=TbRegistroEntradas[[#This Row],[Data do Caixa Previsto]],"Vista","Prazo")</f>
        <v>Vista</v>
      </c>
      <c r="Q15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1" spans="2:17" x14ac:dyDescent="0.25">
      <c r="B151" s="8">
        <v>43400</v>
      </c>
      <c r="C151" s="8">
        <v>43387</v>
      </c>
      <c r="D151" s="8">
        <v>43400</v>
      </c>
      <c r="E151" t="s">
        <v>23</v>
      </c>
      <c r="F151" t="s">
        <v>34</v>
      </c>
      <c r="G151" t="s">
        <v>205</v>
      </c>
      <c r="H151" s="9">
        <v>3744</v>
      </c>
      <c r="I151">
        <f>IF(TbRegistroEntradas[[#This Row],[Data do Caixa Realizado]]="",0,MONTH(TbRegistroEntradas[[#This Row],[Data do Caixa Realizado]]))</f>
        <v>10</v>
      </c>
      <c r="J151">
        <f>IF(TbRegistroEntradas[[#This Row],[Data do Caixa Realizado]]="",0,YEAR(TbRegistroEntradas[[#This Row],[Data do Caixa Realizado]]))</f>
        <v>2018</v>
      </c>
      <c r="K151">
        <f>IF(TbRegistroEntradas[[#This Row],[Data da Competência]]="",0,MONTH(TbRegistroEntradas[[#This Row],[Data da Competência]]))</f>
        <v>10</v>
      </c>
      <c r="L151">
        <f>IF(TbRegistroEntradas[[#This Row],[Data da Competência]]="",0,YEAR(TbRegistroEntradas[[#This Row],[Data da Competência]]))</f>
        <v>2018</v>
      </c>
      <c r="M151">
        <f>IF(TbRegistroEntradas[[#This Row],[Data do Caixa Previsto]]="",0,MONTH(TbRegistroEntradas[[#This Row],[Data do Caixa Previsto]]))</f>
        <v>10</v>
      </c>
      <c r="N151">
        <f>IF(TbRegistroEntradas[[#This Row],[Data do Caixa Previsto]]="",0,YEAR(TbRegistroEntradas[[#This Row],[Data do Caixa Previsto]]))</f>
        <v>2018</v>
      </c>
      <c r="O151" t="str">
        <f ca="1">IF(AND(TbRegistroEntradas[[#This Row],[Data do Caixa Previsto]]&lt;TODAY(),TbRegistroEntradas[[#This Row],[Data do Caixa Realizado]]=""),"Vencida","Não Vencida")</f>
        <v>Não Vencida</v>
      </c>
      <c r="P151" t="str">
        <f>IF(TbRegistroEntradas[[#This Row],[Data da Competência]]=TbRegistroEntradas[[#This Row],[Data do Caixa Previsto]],"Vista","Prazo")</f>
        <v>Prazo</v>
      </c>
      <c r="Q15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2" spans="2:17" x14ac:dyDescent="0.25">
      <c r="B152" s="8" t="s">
        <v>68</v>
      </c>
      <c r="C152" s="8">
        <v>43389</v>
      </c>
      <c r="D152" s="8">
        <v>43438</v>
      </c>
      <c r="E152" t="s">
        <v>23</v>
      </c>
      <c r="F152" t="s">
        <v>35</v>
      </c>
      <c r="G152" t="s">
        <v>206</v>
      </c>
      <c r="H152" s="9">
        <v>4061</v>
      </c>
      <c r="I152">
        <f>IF(TbRegistroEntradas[[#This Row],[Data do Caixa Realizado]]="",0,MONTH(TbRegistroEntradas[[#This Row],[Data do Caixa Realizado]]))</f>
        <v>0</v>
      </c>
      <c r="J152">
        <f>IF(TbRegistroEntradas[[#This Row],[Data do Caixa Realizado]]="",0,YEAR(TbRegistroEntradas[[#This Row],[Data do Caixa Realizado]]))</f>
        <v>0</v>
      </c>
      <c r="K152">
        <f>IF(TbRegistroEntradas[[#This Row],[Data da Competência]]="",0,MONTH(TbRegistroEntradas[[#This Row],[Data da Competência]]))</f>
        <v>10</v>
      </c>
      <c r="L152">
        <f>IF(TbRegistroEntradas[[#This Row],[Data da Competência]]="",0,YEAR(TbRegistroEntradas[[#This Row],[Data da Competência]]))</f>
        <v>2018</v>
      </c>
      <c r="M152">
        <f>IF(TbRegistroEntradas[[#This Row],[Data do Caixa Previsto]]="",0,MONTH(TbRegistroEntradas[[#This Row],[Data do Caixa Previsto]]))</f>
        <v>12</v>
      </c>
      <c r="N152">
        <f>IF(TbRegistroEntradas[[#This Row],[Data do Caixa Previsto]]="",0,YEAR(TbRegistroEntradas[[#This Row],[Data do Caixa Previsto]]))</f>
        <v>2018</v>
      </c>
      <c r="O152" t="str">
        <f ca="1">IF(AND(TbRegistroEntradas[[#This Row],[Data do Caixa Previsto]]&lt;TODAY(),TbRegistroEntradas[[#This Row],[Data do Caixa Realizado]]=""),"Vencida","Não Vencida")</f>
        <v>Vencida</v>
      </c>
      <c r="P152" t="str">
        <f>IF(TbRegistroEntradas[[#This Row],[Data da Competência]]=TbRegistroEntradas[[#This Row],[Data do Caixa Previsto]],"Vista","Prazo")</f>
        <v>Prazo</v>
      </c>
      <c r="Q15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1477</v>
      </c>
    </row>
    <row r="153" spans="2:17" x14ac:dyDescent="0.25">
      <c r="B153" s="8">
        <v>43435</v>
      </c>
      <c r="C153" s="8">
        <v>43394</v>
      </c>
      <c r="D153" s="8">
        <v>43435</v>
      </c>
      <c r="E153" t="s">
        <v>23</v>
      </c>
      <c r="F153" t="s">
        <v>32</v>
      </c>
      <c r="G153" t="s">
        <v>207</v>
      </c>
      <c r="H153" s="9">
        <v>4404</v>
      </c>
      <c r="I153">
        <f>IF(TbRegistroEntradas[[#This Row],[Data do Caixa Realizado]]="",0,MONTH(TbRegistroEntradas[[#This Row],[Data do Caixa Realizado]]))</f>
        <v>12</v>
      </c>
      <c r="J153">
        <f>IF(TbRegistroEntradas[[#This Row],[Data do Caixa Realizado]]="",0,YEAR(TbRegistroEntradas[[#This Row],[Data do Caixa Realizado]]))</f>
        <v>2018</v>
      </c>
      <c r="K153">
        <f>IF(TbRegistroEntradas[[#This Row],[Data da Competência]]="",0,MONTH(TbRegistroEntradas[[#This Row],[Data da Competência]]))</f>
        <v>10</v>
      </c>
      <c r="L153">
        <f>IF(TbRegistroEntradas[[#This Row],[Data da Competência]]="",0,YEAR(TbRegistroEntradas[[#This Row],[Data da Competência]]))</f>
        <v>2018</v>
      </c>
      <c r="M153">
        <f>IF(TbRegistroEntradas[[#This Row],[Data do Caixa Previsto]]="",0,MONTH(TbRegistroEntradas[[#This Row],[Data do Caixa Previsto]]))</f>
        <v>12</v>
      </c>
      <c r="N153">
        <f>IF(TbRegistroEntradas[[#This Row],[Data do Caixa Previsto]]="",0,YEAR(TbRegistroEntradas[[#This Row],[Data do Caixa Previsto]]))</f>
        <v>2018</v>
      </c>
      <c r="O153" t="str">
        <f ca="1">IF(AND(TbRegistroEntradas[[#This Row],[Data do Caixa Previsto]]&lt;TODAY(),TbRegistroEntradas[[#This Row],[Data do Caixa Realizado]]=""),"Vencida","Não Vencida")</f>
        <v>Não Vencida</v>
      </c>
      <c r="P153" t="str">
        <f>IF(TbRegistroEntradas[[#This Row],[Data da Competência]]=TbRegistroEntradas[[#This Row],[Data do Caixa Previsto]],"Vista","Prazo")</f>
        <v>Prazo</v>
      </c>
      <c r="Q15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4" spans="2:17" x14ac:dyDescent="0.25">
      <c r="B154" s="8">
        <v>43424</v>
      </c>
      <c r="C154" s="8">
        <v>43398</v>
      </c>
      <c r="D154" s="8">
        <v>43419</v>
      </c>
      <c r="E154" t="s">
        <v>23</v>
      </c>
      <c r="F154" t="s">
        <v>34</v>
      </c>
      <c r="G154" t="s">
        <v>208</v>
      </c>
      <c r="H154" s="9">
        <v>2429</v>
      </c>
      <c r="I154">
        <f>IF(TbRegistroEntradas[[#This Row],[Data do Caixa Realizado]]="",0,MONTH(TbRegistroEntradas[[#This Row],[Data do Caixa Realizado]]))</f>
        <v>11</v>
      </c>
      <c r="J154">
        <f>IF(TbRegistroEntradas[[#This Row],[Data do Caixa Realizado]]="",0,YEAR(TbRegistroEntradas[[#This Row],[Data do Caixa Realizado]]))</f>
        <v>2018</v>
      </c>
      <c r="K154">
        <f>IF(TbRegistroEntradas[[#This Row],[Data da Competência]]="",0,MONTH(TbRegistroEntradas[[#This Row],[Data da Competência]]))</f>
        <v>10</v>
      </c>
      <c r="L154">
        <f>IF(TbRegistroEntradas[[#This Row],[Data da Competência]]="",0,YEAR(TbRegistroEntradas[[#This Row],[Data da Competência]]))</f>
        <v>2018</v>
      </c>
      <c r="M154">
        <f>IF(TbRegistroEntradas[[#This Row],[Data do Caixa Previsto]]="",0,MONTH(TbRegistroEntradas[[#This Row],[Data do Caixa Previsto]]))</f>
        <v>11</v>
      </c>
      <c r="N154">
        <f>IF(TbRegistroEntradas[[#This Row],[Data do Caixa Previsto]]="",0,YEAR(TbRegistroEntradas[[#This Row],[Data do Caixa Previsto]]))</f>
        <v>2018</v>
      </c>
      <c r="O154" t="str">
        <f ca="1">IF(AND(TbRegistroEntradas[[#This Row],[Data do Caixa Previsto]]&lt;TODAY(),TbRegistroEntradas[[#This Row],[Data do Caixa Realizado]]=""),"Vencida","Não Vencida")</f>
        <v>Não Vencida</v>
      </c>
      <c r="P154" t="str">
        <f>IF(TbRegistroEntradas[[#This Row],[Data da Competência]]=TbRegistroEntradas[[#This Row],[Data do Caixa Previsto]],"Vista","Prazo")</f>
        <v>Prazo</v>
      </c>
      <c r="Q15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</v>
      </c>
    </row>
    <row r="155" spans="2:17" x14ac:dyDescent="0.25">
      <c r="B155" s="8">
        <v>43398</v>
      </c>
      <c r="C155" s="8">
        <v>43398</v>
      </c>
      <c r="D155" s="8">
        <v>43398</v>
      </c>
      <c r="E155" t="s">
        <v>23</v>
      </c>
      <c r="F155" t="s">
        <v>32</v>
      </c>
      <c r="G155" t="s">
        <v>209</v>
      </c>
      <c r="H155" s="9">
        <v>2713</v>
      </c>
      <c r="I155">
        <f>IF(TbRegistroEntradas[[#This Row],[Data do Caixa Realizado]]="",0,MONTH(TbRegistroEntradas[[#This Row],[Data do Caixa Realizado]]))</f>
        <v>10</v>
      </c>
      <c r="J155">
        <f>IF(TbRegistroEntradas[[#This Row],[Data do Caixa Realizado]]="",0,YEAR(TbRegistroEntradas[[#This Row],[Data do Caixa Realizado]]))</f>
        <v>2018</v>
      </c>
      <c r="K155">
        <f>IF(TbRegistroEntradas[[#This Row],[Data da Competência]]="",0,MONTH(TbRegistroEntradas[[#This Row],[Data da Competência]]))</f>
        <v>10</v>
      </c>
      <c r="L155">
        <f>IF(TbRegistroEntradas[[#This Row],[Data da Competência]]="",0,YEAR(TbRegistroEntradas[[#This Row],[Data da Competência]]))</f>
        <v>2018</v>
      </c>
      <c r="M155">
        <f>IF(TbRegistroEntradas[[#This Row],[Data do Caixa Previsto]]="",0,MONTH(TbRegistroEntradas[[#This Row],[Data do Caixa Previsto]]))</f>
        <v>10</v>
      </c>
      <c r="N155">
        <f>IF(TbRegistroEntradas[[#This Row],[Data do Caixa Previsto]]="",0,YEAR(TbRegistroEntradas[[#This Row],[Data do Caixa Previsto]]))</f>
        <v>2018</v>
      </c>
      <c r="O155" t="str">
        <f ca="1">IF(AND(TbRegistroEntradas[[#This Row],[Data do Caixa Previsto]]&lt;TODAY(),TbRegistroEntradas[[#This Row],[Data do Caixa Realizado]]=""),"Vencida","Não Vencida")</f>
        <v>Não Vencida</v>
      </c>
      <c r="P155" t="str">
        <f>IF(TbRegistroEntradas[[#This Row],[Data da Competência]]=TbRegistroEntradas[[#This Row],[Data do Caixa Previsto]],"Vista","Prazo")</f>
        <v>Vista</v>
      </c>
      <c r="Q15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6" spans="2:17" x14ac:dyDescent="0.25">
      <c r="B156" s="8" t="s">
        <v>68</v>
      </c>
      <c r="C156" s="8">
        <v>43403</v>
      </c>
      <c r="D156" s="8">
        <v>43403</v>
      </c>
      <c r="E156" t="s">
        <v>23</v>
      </c>
      <c r="F156" t="s">
        <v>34</v>
      </c>
      <c r="G156" t="s">
        <v>210</v>
      </c>
      <c r="H156" s="9">
        <v>3787</v>
      </c>
      <c r="I156">
        <f>IF(TbRegistroEntradas[[#This Row],[Data do Caixa Realizado]]="",0,MONTH(TbRegistroEntradas[[#This Row],[Data do Caixa Realizado]]))</f>
        <v>0</v>
      </c>
      <c r="J156">
        <f>IF(TbRegistroEntradas[[#This Row],[Data do Caixa Realizado]]="",0,YEAR(TbRegistroEntradas[[#This Row],[Data do Caixa Realizado]]))</f>
        <v>0</v>
      </c>
      <c r="K156">
        <f>IF(TbRegistroEntradas[[#This Row],[Data da Competência]]="",0,MONTH(TbRegistroEntradas[[#This Row],[Data da Competência]]))</f>
        <v>10</v>
      </c>
      <c r="L156">
        <f>IF(TbRegistroEntradas[[#This Row],[Data da Competência]]="",0,YEAR(TbRegistroEntradas[[#This Row],[Data da Competência]]))</f>
        <v>2018</v>
      </c>
      <c r="M156">
        <f>IF(TbRegistroEntradas[[#This Row],[Data do Caixa Previsto]]="",0,MONTH(TbRegistroEntradas[[#This Row],[Data do Caixa Previsto]]))</f>
        <v>10</v>
      </c>
      <c r="N156">
        <f>IF(TbRegistroEntradas[[#This Row],[Data do Caixa Previsto]]="",0,YEAR(TbRegistroEntradas[[#This Row],[Data do Caixa Previsto]]))</f>
        <v>2018</v>
      </c>
      <c r="O156" t="str">
        <f ca="1">IF(AND(TbRegistroEntradas[[#This Row],[Data do Caixa Previsto]]&lt;TODAY(),TbRegistroEntradas[[#This Row],[Data do Caixa Realizado]]=""),"Vencida","Não Vencida")</f>
        <v>Vencida</v>
      </c>
      <c r="P156" t="str">
        <f>IF(TbRegistroEntradas[[#This Row],[Data da Competência]]=TbRegistroEntradas[[#This Row],[Data do Caixa Previsto]],"Vista","Prazo")</f>
        <v>Vista</v>
      </c>
      <c r="Q15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1512</v>
      </c>
    </row>
    <row r="157" spans="2:17" x14ac:dyDescent="0.25">
      <c r="B157" s="8">
        <v>43442</v>
      </c>
      <c r="C157" s="8">
        <v>43408</v>
      </c>
      <c r="D157" s="8">
        <v>43442</v>
      </c>
      <c r="E157" t="s">
        <v>23</v>
      </c>
      <c r="F157" t="s">
        <v>33</v>
      </c>
      <c r="G157" t="s">
        <v>211</v>
      </c>
      <c r="H157" s="9">
        <v>1820</v>
      </c>
      <c r="I157">
        <f>IF(TbRegistroEntradas[[#This Row],[Data do Caixa Realizado]]="",0,MONTH(TbRegistroEntradas[[#This Row],[Data do Caixa Realizado]]))</f>
        <v>12</v>
      </c>
      <c r="J157">
        <f>IF(TbRegistroEntradas[[#This Row],[Data do Caixa Realizado]]="",0,YEAR(TbRegistroEntradas[[#This Row],[Data do Caixa Realizado]]))</f>
        <v>2018</v>
      </c>
      <c r="K157">
        <f>IF(TbRegistroEntradas[[#This Row],[Data da Competência]]="",0,MONTH(TbRegistroEntradas[[#This Row],[Data da Competência]]))</f>
        <v>11</v>
      </c>
      <c r="L157">
        <f>IF(TbRegistroEntradas[[#This Row],[Data da Competência]]="",0,YEAR(TbRegistroEntradas[[#This Row],[Data da Competência]]))</f>
        <v>2018</v>
      </c>
      <c r="M157">
        <f>IF(TbRegistroEntradas[[#This Row],[Data do Caixa Previsto]]="",0,MONTH(TbRegistroEntradas[[#This Row],[Data do Caixa Previsto]]))</f>
        <v>12</v>
      </c>
      <c r="N157">
        <f>IF(TbRegistroEntradas[[#This Row],[Data do Caixa Previsto]]="",0,YEAR(TbRegistroEntradas[[#This Row],[Data do Caixa Previsto]]))</f>
        <v>2018</v>
      </c>
      <c r="O157" t="str">
        <f ca="1">IF(AND(TbRegistroEntradas[[#This Row],[Data do Caixa Previsto]]&lt;TODAY(),TbRegistroEntradas[[#This Row],[Data do Caixa Realizado]]=""),"Vencida","Não Vencida")</f>
        <v>Não Vencida</v>
      </c>
      <c r="P157" t="str">
        <f>IF(TbRegistroEntradas[[#This Row],[Data da Competência]]=TbRegistroEntradas[[#This Row],[Data do Caixa Previsto]],"Vista","Prazo")</f>
        <v>Prazo</v>
      </c>
      <c r="Q15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8" spans="2:17" x14ac:dyDescent="0.25">
      <c r="B158" s="8">
        <v>43431</v>
      </c>
      <c r="C158" s="8">
        <v>43412</v>
      </c>
      <c r="D158" s="8">
        <v>43431</v>
      </c>
      <c r="E158" t="s">
        <v>23</v>
      </c>
      <c r="F158" t="s">
        <v>34</v>
      </c>
      <c r="G158" t="s">
        <v>212</v>
      </c>
      <c r="H158" s="9">
        <v>4135</v>
      </c>
      <c r="I158">
        <f>IF(TbRegistroEntradas[[#This Row],[Data do Caixa Realizado]]="",0,MONTH(TbRegistroEntradas[[#This Row],[Data do Caixa Realizado]]))</f>
        <v>11</v>
      </c>
      <c r="J158">
        <f>IF(TbRegistroEntradas[[#This Row],[Data do Caixa Realizado]]="",0,YEAR(TbRegistroEntradas[[#This Row],[Data do Caixa Realizado]]))</f>
        <v>2018</v>
      </c>
      <c r="K158">
        <f>IF(TbRegistroEntradas[[#This Row],[Data da Competência]]="",0,MONTH(TbRegistroEntradas[[#This Row],[Data da Competência]]))</f>
        <v>11</v>
      </c>
      <c r="L158">
        <f>IF(TbRegistroEntradas[[#This Row],[Data da Competência]]="",0,YEAR(TbRegistroEntradas[[#This Row],[Data da Competência]]))</f>
        <v>2018</v>
      </c>
      <c r="M158">
        <f>IF(TbRegistroEntradas[[#This Row],[Data do Caixa Previsto]]="",0,MONTH(TbRegistroEntradas[[#This Row],[Data do Caixa Previsto]]))</f>
        <v>11</v>
      </c>
      <c r="N158">
        <f>IF(TbRegistroEntradas[[#This Row],[Data do Caixa Previsto]]="",0,YEAR(TbRegistroEntradas[[#This Row],[Data do Caixa Previsto]]))</f>
        <v>2018</v>
      </c>
      <c r="O158" t="str">
        <f ca="1">IF(AND(TbRegistroEntradas[[#This Row],[Data do Caixa Previsto]]&lt;TODAY(),TbRegistroEntradas[[#This Row],[Data do Caixa Realizado]]=""),"Vencida","Não Vencida")</f>
        <v>Não Vencida</v>
      </c>
      <c r="P158" t="str">
        <f>IF(TbRegistroEntradas[[#This Row],[Data da Competência]]=TbRegistroEntradas[[#This Row],[Data do Caixa Previsto]],"Vista","Prazo")</f>
        <v>Prazo</v>
      </c>
      <c r="Q15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59" spans="2:17" x14ac:dyDescent="0.25">
      <c r="B159" s="8">
        <v>43421</v>
      </c>
      <c r="C159" s="8">
        <v>43415</v>
      </c>
      <c r="D159" s="8">
        <v>43421</v>
      </c>
      <c r="E159" t="s">
        <v>23</v>
      </c>
      <c r="F159" t="s">
        <v>34</v>
      </c>
      <c r="G159" t="s">
        <v>213</v>
      </c>
      <c r="H159" s="9">
        <v>3902</v>
      </c>
      <c r="I159">
        <f>IF(TbRegistroEntradas[[#This Row],[Data do Caixa Realizado]]="",0,MONTH(TbRegistroEntradas[[#This Row],[Data do Caixa Realizado]]))</f>
        <v>11</v>
      </c>
      <c r="J159">
        <f>IF(TbRegistroEntradas[[#This Row],[Data do Caixa Realizado]]="",0,YEAR(TbRegistroEntradas[[#This Row],[Data do Caixa Realizado]]))</f>
        <v>2018</v>
      </c>
      <c r="K159">
        <f>IF(TbRegistroEntradas[[#This Row],[Data da Competência]]="",0,MONTH(TbRegistroEntradas[[#This Row],[Data da Competência]]))</f>
        <v>11</v>
      </c>
      <c r="L159">
        <f>IF(TbRegistroEntradas[[#This Row],[Data da Competência]]="",0,YEAR(TbRegistroEntradas[[#This Row],[Data da Competência]]))</f>
        <v>2018</v>
      </c>
      <c r="M159">
        <f>IF(TbRegistroEntradas[[#This Row],[Data do Caixa Previsto]]="",0,MONTH(TbRegistroEntradas[[#This Row],[Data do Caixa Previsto]]))</f>
        <v>11</v>
      </c>
      <c r="N159">
        <f>IF(TbRegistroEntradas[[#This Row],[Data do Caixa Previsto]]="",0,YEAR(TbRegistroEntradas[[#This Row],[Data do Caixa Previsto]]))</f>
        <v>2018</v>
      </c>
      <c r="O159" t="str">
        <f ca="1">IF(AND(TbRegistroEntradas[[#This Row],[Data do Caixa Previsto]]&lt;TODAY(),TbRegistroEntradas[[#This Row],[Data do Caixa Realizado]]=""),"Vencida","Não Vencida")</f>
        <v>Não Vencida</v>
      </c>
      <c r="P159" t="str">
        <f>IF(TbRegistroEntradas[[#This Row],[Data da Competência]]=TbRegistroEntradas[[#This Row],[Data do Caixa Previsto]],"Vista","Prazo")</f>
        <v>Prazo</v>
      </c>
      <c r="Q15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0" spans="2:17" x14ac:dyDescent="0.25">
      <c r="B160" s="8">
        <v>43418</v>
      </c>
      <c r="C160" s="8">
        <v>43418</v>
      </c>
      <c r="D160" s="8">
        <v>43418</v>
      </c>
      <c r="E160" t="s">
        <v>23</v>
      </c>
      <c r="F160" t="s">
        <v>34</v>
      </c>
      <c r="G160" t="s">
        <v>214</v>
      </c>
      <c r="H160" s="9">
        <v>4319</v>
      </c>
      <c r="I160">
        <f>IF(TbRegistroEntradas[[#This Row],[Data do Caixa Realizado]]="",0,MONTH(TbRegistroEntradas[[#This Row],[Data do Caixa Realizado]]))</f>
        <v>11</v>
      </c>
      <c r="J160">
        <f>IF(TbRegistroEntradas[[#This Row],[Data do Caixa Realizado]]="",0,YEAR(TbRegistroEntradas[[#This Row],[Data do Caixa Realizado]]))</f>
        <v>2018</v>
      </c>
      <c r="K160">
        <f>IF(TbRegistroEntradas[[#This Row],[Data da Competência]]="",0,MONTH(TbRegistroEntradas[[#This Row],[Data da Competência]]))</f>
        <v>11</v>
      </c>
      <c r="L160">
        <f>IF(TbRegistroEntradas[[#This Row],[Data da Competência]]="",0,YEAR(TbRegistroEntradas[[#This Row],[Data da Competência]]))</f>
        <v>2018</v>
      </c>
      <c r="M160">
        <f>IF(TbRegistroEntradas[[#This Row],[Data do Caixa Previsto]]="",0,MONTH(TbRegistroEntradas[[#This Row],[Data do Caixa Previsto]]))</f>
        <v>11</v>
      </c>
      <c r="N160">
        <f>IF(TbRegistroEntradas[[#This Row],[Data do Caixa Previsto]]="",0,YEAR(TbRegistroEntradas[[#This Row],[Data do Caixa Previsto]]))</f>
        <v>2018</v>
      </c>
      <c r="O160" t="str">
        <f ca="1">IF(AND(TbRegistroEntradas[[#This Row],[Data do Caixa Previsto]]&lt;TODAY(),TbRegistroEntradas[[#This Row],[Data do Caixa Realizado]]=""),"Vencida","Não Vencida")</f>
        <v>Não Vencida</v>
      </c>
      <c r="P160" t="str">
        <f>IF(TbRegistroEntradas[[#This Row],[Data da Competência]]=TbRegistroEntradas[[#This Row],[Data do Caixa Previsto]],"Vista","Prazo")</f>
        <v>Vista</v>
      </c>
      <c r="Q16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1" spans="2:17" x14ac:dyDescent="0.25">
      <c r="B161" s="8">
        <v>43537</v>
      </c>
      <c r="C161" s="8">
        <v>43421</v>
      </c>
      <c r="D161" s="8">
        <v>43464</v>
      </c>
      <c r="E161" t="s">
        <v>23</v>
      </c>
      <c r="F161" t="s">
        <v>32</v>
      </c>
      <c r="G161" t="s">
        <v>215</v>
      </c>
      <c r="H161" s="9">
        <v>3068</v>
      </c>
      <c r="I161">
        <f>IF(TbRegistroEntradas[[#This Row],[Data do Caixa Realizado]]="",0,MONTH(TbRegistroEntradas[[#This Row],[Data do Caixa Realizado]]))</f>
        <v>3</v>
      </c>
      <c r="J161">
        <f>IF(TbRegistroEntradas[[#This Row],[Data do Caixa Realizado]]="",0,YEAR(TbRegistroEntradas[[#This Row],[Data do Caixa Realizado]]))</f>
        <v>2019</v>
      </c>
      <c r="K161">
        <f>IF(TbRegistroEntradas[[#This Row],[Data da Competência]]="",0,MONTH(TbRegistroEntradas[[#This Row],[Data da Competência]]))</f>
        <v>11</v>
      </c>
      <c r="L161">
        <f>IF(TbRegistroEntradas[[#This Row],[Data da Competência]]="",0,YEAR(TbRegistroEntradas[[#This Row],[Data da Competência]]))</f>
        <v>2018</v>
      </c>
      <c r="M161">
        <f>IF(TbRegistroEntradas[[#This Row],[Data do Caixa Previsto]]="",0,MONTH(TbRegistroEntradas[[#This Row],[Data do Caixa Previsto]]))</f>
        <v>12</v>
      </c>
      <c r="N161">
        <f>IF(TbRegistroEntradas[[#This Row],[Data do Caixa Previsto]]="",0,YEAR(TbRegistroEntradas[[#This Row],[Data do Caixa Previsto]]))</f>
        <v>2018</v>
      </c>
      <c r="O161" t="str">
        <f ca="1">IF(AND(TbRegistroEntradas[[#This Row],[Data do Caixa Previsto]]&lt;TODAY(),TbRegistroEntradas[[#This Row],[Data do Caixa Realizado]]=""),"Vencida","Não Vencida")</f>
        <v>Não Vencida</v>
      </c>
      <c r="P161" t="str">
        <f>IF(TbRegistroEntradas[[#This Row],[Data da Competência]]=TbRegistroEntradas[[#This Row],[Data do Caixa Previsto]],"Vista","Prazo")</f>
        <v>Prazo</v>
      </c>
      <c r="Q16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73</v>
      </c>
    </row>
    <row r="162" spans="2:17" x14ac:dyDescent="0.25">
      <c r="B162" s="8">
        <v>43425</v>
      </c>
      <c r="C162" s="8">
        <v>43425</v>
      </c>
      <c r="D162" s="8">
        <v>43425</v>
      </c>
      <c r="E162" t="s">
        <v>23</v>
      </c>
      <c r="F162" t="s">
        <v>34</v>
      </c>
      <c r="G162" t="s">
        <v>216</v>
      </c>
      <c r="H162" s="9">
        <v>1880</v>
      </c>
      <c r="I162">
        <f>IF(TbRegistroEntradas[[#This Row],[Data do Caixa Realizado]]="",0,MONTH(TbRegistroEntradas[[#This Row],[Data do Caixa Realizado]]))</f>
        <v>11</v>
      </c>
      <c r="J162">
        <f>IF(TbRegistroEntradas[[#This Row],[Data do Caixa Realizado]]="",0,YEAR(TbRegistroEntradas[[#This Row],[Data do Caixa Realizado]]))</f>
        <v>2018</v>
      </c>
      <c r="K162">
        <f>IF(TbRegistroEntradas[[#This Row],[Data da Competência]]="",0,MONTH(TbRegistroEntradas[[#This Row],[Data da Competência]]))</f>
        <v>11</v>
      </c>
      <c r="L162">
        <f>IF(TbRegistroEntradas[[#This Row],[Data da Competência]]="",0,YEAR(TbRegistroEntradas[[#This Row],[Data da Competência]]))</f>
        <v>2018</v>
      </c>
      <c r="M162">
        <f>IF(TbRegistroEntradas[[#This Row],[Data do Caixa Previsto]]="",0,MONTH(TbRegistroEntradas[[#This Row],[Data do Caixa Previsto]]))</f>
        <v>11</v>
      </c>
      <c r="N162">
        <f>IF(TbRegistroEntradas[[#This Row],[Data do Caixa Previsto]]="",0,YEAR(TbRegistroEntradas[[#This Row],[Data do Caixa Previsto]]))</f>
        <v>2018</v>
      </c>
      <c r="O162" t="str">
        <f ca="1">IF(AND(TbRegistroEntradas[[#This Row],[Data do Caixa Previsto]]&lt;TODAY(),TbRegistroEntradas[[#This Row],[Data do Caixa Realizado]]=""),"Vencida","Não Vencida")</f>
        <v>Não Vencida</v>
      </c>
      <c r="P162" t="str">
        <f>IF(TbRegistroEntradas[[#This Row],[Data da Competência]]=TbRegistroEntradas[[#This Row],[Data do Caixa Previsto]],"Vista","Prazo")</f>
        <v>Vista</v>
      </c>
      <c r="Q16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3" spans="2:17" x14ac:dyDescent="0.25">
      <c r="B163" s="8">
        <v>43465</v>
      </c>
      <c r="C163" s="8">
        <v>43427</v>
      </c>
      <c r="D163" s="8">
        <v>43465</v>
      </c>
      <c r="E163" t="s">
        <v>23</v>
      </c>
      <c r="F163" t="s">
        <v>34</v>
      </c>
      <c r="G163" t="s">
        <v>217</v>
      </c>
      <c r="H163" s="9">
        <v>1414</v>
      </c>
      <c r="I163">
        <f>IF(TbRegistroEntradas[[#This Row],[Data do Caixa Realizado]]="",0,MONTH(TbRegistroEntradas[[#This Row],[Data do Caixa Realizado]]))</f>
        <v>12</v>
      </c>
      <c r="J163">
        <f>IF(TbRegistroEntradas[[#This Row],[Data do Caixa Realizado]]="",0,YEAR(TbRegistroEntradas[[#This Row],[Data do Caixa Realizado]]))</f>
        <v>2018</v>
      </c>
      <c r="K163">
        <f>IF(TbRegistroEntradas[[#This Row],[Data da Competência]]="",0,MONTH(TbRegistroEntradas[[#This Row],[Data da Competência]]))</f>
        <v>11</v>
      </c>
      <c r="L163">
        <f>IF(TbRegistroEntradas[[#This Row],[Data da Competência]]="",0,YEAR(TbRegistroEntradas[[#This Row],[Data da Competência]]))</f>
        <v>2018</v>
      </c>
      <c r="M163">
        <f>IF(TbRegistroEntradas[[#This Row],[Data do Caixa Previsto]]="",0,MONTH(TbRegistroEntradas[[#This Row],[Data do Caixa Previsto]]))</f>
        <v>12</v>
      </c>
      <c r="N163">
        <f>IF(TbRegistroEntradas[[#This Row],[Data do Caixa Previsto]]="",0,YEAR(TbRegistroEntradas[[#This Row],[Data do Caixa Previsto]]))</f>
        <v>2018</v>
      </c>
      <c r="O163" t="str">
        <f ca="1">IF(AND(TbRegistroEntradas[[#This Row],[Data do Caixa Previsto]]&lt;TODAY(),TbRegistroEntradas[[#This Row],[Data do Caixa Realizado]]=""),"Vencida","Não Vencida")</f>
        <v>Não Vencida</v>
      </c>
      <c r="P163" t="str">
        <f>IF(TbRegistroEntradas[[#This Row],[Data da Competência]]=TbRegistroEntradas[[#This Row],[Data do Caixa Previsto]],"Vista","Prazo")</f>
        <v>Prazo</v>
      </c>
      <c r="Q16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4" spans="2:17" x14ac:dyDescent="0.25">
      <c r="B164" s="8">
        <v>43457</v>
      </c>
      <c r="C164" s="8">
        <v>43430</v>
      </c>
      <c r="D164" s="8">
        <v>43447</v>
      </c>
      <c r="E164" t="s">
        <v>23</v>
      </c>
      <c r="F164" t="s">
        <v>31</v>
      </c>
      <c r="G164" t="s">
        <v>218</v>
      </c>
      <c r="H164" s="9">
        <v>919</v>
      </c>
      <c r="I164">
        <f>IF(TbRegistroEntradas[[#This Row],[Data do Caixa Realizado]]="",0,MONTH(TbRegistroEntradas[[#This Row],[Data do Caixa Realizado]]))</f>
        <v>12</v>
      </c>
      <c r="J164">
        <f>IF(TbRegistroEntradas[[#This Row],[Data do Caixa Realizado]]="",0,YEAR(TbRegistroEntradas[[#This Row],[Data do Caixa Realizado]]))</f>
        <v>2018</v>
      </c>
      <c r="K164">
        <f>IF(TbRegistroEntradas[[#This Row],[Data da Competência]]="",0,MONTH(TbRegistroEntradas[[#This Row],[Data da Competência]]))</f>
        <v>11</v>
      </c>
      <c r="L164">
        <f>IF(TbRegistroEntradas[[#This Row],[Data da Competência]]="",0,YEAR(TbRegistroEntradas[[#This Row],[Data da Competência]]))</f>
        <v>2018</v>
      </c>
      <c r="M164">
        <f>IF(TbRegistroEntradas[[#This Row],[Data do Caixa Previsto]]="",0,MONTH(TbRegistroEntradas[[#This Row],[Data do Caixa Previsto]]))</f>
        <v>12</v>
      </c>
      <c r="N164">
        <f>IF(TbRegistroEntradas[[#This Row],[Data do Caixa Previsto]]="",0,YEAR(TbRegistroEntradas[[#This Row],[Data do Caixa Previsto]]))</f>
        <v>2018</v>
      </c>
      <c r="O164" t="str">
        <f ca="1">IF(AND(TbRegistroEntradas[[#This Row],[Data do Caixa Previsto]]&lt;TODAY(),TbRegistroEntradas[[#This Row],[Data do Caixa Realizado]]=""),"Vencida","Não Vencida")</f>
        <v>Não Vencida</v>
      </c>
      <c r="P164" t="str">
        <f>IF(TbRegistroEntradas[[#This Row],[Data da Competência]]=TbRegistroEntradas[[#This Row],[Data do Caixa Previsto]],"Vista","Prazo")</f>
        <v>Prazo</v>
      </c>
      <c r="Q16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10</v>
      </c>
    </row>
    <row r="165" spans="2:17" x14ac:dyDescent="0.25">
      <c r="B165" s="8">
        <v>43431</v>
      </c>
      <c r="C165" s="8">
        <v>43431</v>
      </c>
      <c r="D165" s="8">
        <v>43431</v>
      </c>
      <c r="E165" t="s">
        <v>23</v>
      </c>
      <c r="F165" t="s">
        <v>34</v>
      </c>
      <c r="G165" t="s">
        <v>219</v>
      </c>
      <c r="H165" s="9">
        <v>4801</v>
      </c>
      <c r="I165">
        <f>IF(TbRegistroEntradas[[#This Row],[Data do Caixa Realizado]]="",0,MONTH(TbRegistroEntradas[[#This Row],[Data do Caixa Realizado]]))</f>
        <v>11</v>
      </c>
      <c r="J165">
        <f>IF(TbRegistroEntradas[[#This Row],[Data do Caixa Realizado]]="",0,YEAR(TbRegistroEntradas[[#This Row],[Data do Caixa Realizado]]))</f>
        <v>2018</v>
      </c>
      <c r="K165">
        <f>IF(TbRegistroEntradas[[#This Row],[Data da Competência]]="",0,MONTH(TbRegistroEntradas[[#This Row],[Data da Competência]]))</f>
        <v>11</v>
      </c>
      <c r="L165">
        <f>IF(TbRegistroEntradas[[#This Row],[Data da Competência]]="",0,YEAR(TbRegistroEntradas[[#This Row],[Data da Competência]]))</f>
        <v>2018</v>
      </c>
      <c r="M165">
        <f>IF(TbRegistroEntradas[[#This Row],[Data do Caixa Previsto]]="",0,MONTH(TbRegistroEntradas[[#This Row],[Data do Caixa Previsto]]))</f>
        <v>11</v>
      </c>
      <c r="N165">
        <f>IF(TbRegistroEntradas[[#This Row],[Data do Caixa Previsto]]="",0,YEAR(TbRegistroEntradas[[#This Row],[Data do Caixa Previsto]]))</f>
        <v>2018</v>
      </c>
      <c r="O165" t="str">
        <f ca="1">IF(AND(TbRegistroEntradas[[#This Row],[Data do Caixa Previsto]]&lt;TODAY(),TbRegistroEntradas[[#This Row],[Data do Caixa Realizado]]=""),"Vencida","Não Vencida")</f>
        <v>Não Vencida</v>
      </c>
      <c r="P165" t="str">
        <f>IF(TbRegistroEntradas[[#This Row],[Data da Competência]]=TbRegistroEntradas[[#This Row],[Data do Caixa Previsto]],"Vista","Prazo")</f>
        <v>Vista</v>
      </c>
      <c r="Q16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6" spans="2:17" x14ac:dyDescent="0.25">
      <c r="B166" s="8">
        <v>43434</v>
      </c>
      <c r="C166" s="8">
        <v>43434</v>
      </c>
      <c r="D166" s="8">
        <v>43434</v>
      </c>
      <c r="E166" t="s">
        <v>23</v>
      </c>
      <c r="F166" t="s">
        <v>35</v>
      </c>
      <c r="G166" t="s">
        <v>220</v>
      </c>
      <c r="H166" s="9">
        <v>4639</v>
      </c>
      <c r="I166">
        <f>IF(TbRegistroEntradas[[#This Row],[Data do Caixa Realizado]]="",0,MONTH(TbRegistroEntradas[[#This Row],[Data do Caixa Realizado]]))</f>
        <v>11</v>
      </c>
      <c r="J166">
        <f>IF(TbRegistroEntradas[[#This Row],[Data do Caixa Realizado]]="",0,YEAR(TbRegistroEntradas[[#This Row],[Data do Caixa Realizado]]))</f>
        <v>2018</v>
      </c>
      <c r="K166">
        <f>IF(TbRegistroEntradas[[#This Row],[Data da Competência]]="",0,MONTH(TbRegistroEntradas[[#This Row],[Data da Competência]]))</f>
        <v>11</v>
      </c>
      <c r="L166">
        <f>IF(TbRegistroEntradas[[#This Row],[Data da Competência]]="",0,YEAR(TbRegistroEntradas[[#This Row],[Data da Competência]]))</f>
        <v>2018</v>
      </c>
      <c r="M166">
        <f>IF(TbRegistroEntradas[[#This Row],[Data do Caixa Previsto]]="",0,MONTH(TbRegistroEntradas[[#This Row],[Data do Caixa Previsto]]))</f>
        <v>11</v>
      </c>
      <c r="N166">
        <f>IF(TbRegistroEntradas[[#This Row],[Data do Caixa Previsto]]="",0,YEAR(TbRegistroEntradas[[#This Row],[Data do Caixa Previsto]]))</f>
        <v>2018</v>
      </c>
      <c r="O166" t="str">
        <f ca="1">IF(AND(TbRegistroEntradas[[#This Row],[Data do Caixa Previsto]]&lt;TODAY(),TbRegistroEntradas[[#This Row],[Data do Caixa Realizado]]=""),"Vencida","Não Vencida")</f>
        <v>Não Vencida</v>
      </c>
      <c r="P166" t="str">
        <f>IF(TbRegistroEntradas[[#This Row],[Data da Competência]]=TbRegistroEntradas[[#This Row],[Data do Caixa Previsto]],"Vista","Prazo")</f>
        <v>Vista</v>
      </c>
      <c r="Q16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67" spans="2:17" x14ac:dyDescent="0.25">
      <c r="B167" s="8" t="s">
        <v>68</v>
      </c>
      <c r="C167" s="8">
        <v>43440</v>
      </c>
      <c r="D167" s="8">
        <v>43487</v>
      </c>
      <c r="E167" t="s">
        <v>23</v>
      </c>
      <c r="F167" t="s">
        <v>34</v>
      </c>
      <c r="G167" t="s">
        <v>221</v>
      </c>
      <c r="H167" s="9">
        <v>1209</v>
      </c>
      <c r="I167">
        <f>IF(TbRegistroEntradas[[#This Row],[Data do Caixa Realizado]]="",0,MONTH(TbRegistroEntradas[[#This Row],[Data do Caixa Realizado]]))</f>
        <v>0</v>
      </c>
      <c r="J167">
        <f>IF(TbRegistroEntradas[[#This Row],[Data do Caixa Realizado]]="",0,YEAR(TbRegistroEntradas[[#This Row],[Data do Caixa Realizado]]))</f>
        <v>0</v>
      </c>
      <c r="K167">
        <f>IF(TbRegistroEntradas[[#This Row],[Data da Competência]]="",0,MONTH(TbRegistroEntradas[[#This Row],[Data da Competência]]))</f>
        <v>12</v>
      </c>
      <c r="L167">
        <f>IF(TbRegistroEntradas[[#This Row],[Data da Competência]]="",0,YEAR(TbRegistroEntradas[[#This Row],[Data da Competência]]))</f>
        <v>2018</v>
      </c>
      <c r="M167">
        <f>IF(TbRegistroEntradas[[#This Row],[Data do Caixa Previsto]]="",0,MONTH(TbRegistroEntradas[[#This Row],[Data do Caixa Previsto]]))</f>
        <v>1</v>
      </c>
      <c r="N167">
        <f>IF(TbRegistroEntradas[[#This Row],[Data do Caixa Previsto]]="",0,YEAR(TbRegistroEntradas[[#This Row],[Data do Caixa Previsto]]))</f>
        <v>2019</v>
      </c>
      <c r="O167" t="str">
        <f ca="1">IF(AND(TbRegistroEntradas[[#This Row],[Data do Caixa Previsto]]&lt;TODAY(),TbRegistroEntradas[[#This Row],[Data do Caixa Realizado]]=""),"Vencida","Não Vencida")</f>
        <v>Vencida</v>
      </c>
      <c r="P167" t="str">
        <f>IF(TbRegistroEntradas[[#This Row],[Data da Competência]]=TbRegistroEntradas[[#This Row],[Data do Caixa Previsto]],"Vista","Prazo")</f>
        <v>Prazo</v>
      </c>
      <c r="Q16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1428</v>
      </c>
    </row>
    <row r="168" spans="2:17" x14ac:dyDescent="0.25">
      <c r="B168" s="8">
        <v>43560</v>
      </c>
      <c r="C168" s="8">
        <v>43444</v>
      </c>
      <c r="D168" s="8">
        <v>43477</v>
      </c>
      <c r="E168" t="s">
        <v>23</v>
      </c>
      <c r="F168" t="s">
        <v>35</v>
      </c>
      <c r="G168" t="s">
        <v>222</v>
      </c>
      <c r="H168" s="9">
        <v>483</v>
      </c>
      <c r="I168">
        <f>IF(TbRegistroEntradas[[#This Row],[Data do Caixa Realizado]]="",0,MONTH(TbRegistroEntradas[[#This Row],[Data do Caixa Realizado]]))</f>
        <v>4</v>
      </c>
      <c r="J168">
        <f>IF(TbRegistroEntradas[[#This Row],[Data do Caixa Realizado]]="",0,YEAR(TbRegistroEntradas[[#This Row],[Data do Caixa Realizado]]))</f>
        <v>2019</v>
      </c>
      <c r="K168">
        <f>IF(TbRegistroEntradas[[#This Row],[Data da Competência]]="",0,MONTH(TbRegistroEntradas[[#This Row],[Data da Competência]]))</f>
        <v>12</v>
      </c>
      <c r="L168">
        <f>IF(TbRegistroEntradas[[#This Row],[Data da Competência]]="",0,YEAR(TbRegistroEntradas[[#This Row],[Data da Competência]]))</f>
        <v>2018</v>
      </c>
      <c r="M168">
        <f>IF(TbRegistroEntradas[[#This Row],[Data do Caixa Previsto]]="",0,MONTH(TbRegistroEntradas[[#This Row],[Data do Caixa Previsto]]))</f>
        <v>1</v>
      </c>
      <c r="N168">
        <f>IF(TbRegistroEntradas[[#This Row],[Data do Caixa Previsto]]="",0,YEAR(TbRegistroEntradas[[#This Row],[Data do Caixa Previsto]]))</f>
        <v>2019</v>
      </c>
      <c r="O168" t="str">
        <f ca="1">IF(AND(TbRegistroEntradas[[#This Row],[Data do Caixa Previsto]]&lt;TODAY(),TbRegistroEntradas[[#This Row],[Data do Caixa Realizado]]=""),"Vencida","Não Vencida")</f>
        <v>Não Vencida</v>
      </c>
      <c r="P168" t="str">
        <f>IF(TbRegistroEntradas[[#This Row],[Data da Competência]]=TbRegistroEntradas[[#This Row],[Data do Caixa Previsto]],"Vista","Prazo")</f>
        <v>Prazo</v>
      </c>
      <c r="Q16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83</v>
      </c>
    </row>
    <row r="169" spans="2:17" x14ac:dyDescent="0.25">
      <c r="B169" s="8">
        <v>43503</v>
      </c>
      <c r="C169" s="8">
        <v>43451</v>
      </c>
      <c r="D169" s="8">
        <v>43469</v>
      </c>
      <c r="E169" t="s">
        <v>23</v>
      </c>
      <c r="F169" t="s">
        <v>34</v>
      </c>
      <c r="G169" t="s">
        <v>223</v>
      </c>
      <c r="H169" s="9">
        <v>373</v>
      </c>
      <c r="I169">
        <f>IF(TbRegistroEntradas[[#This Row],[Data do Caixa Realizado]]="",0,MONTH(TbRegistroEntradas[[#This Row],[Data do Caixa Realizado]]))</f>
        <v>2</v>
      </c>
      <c r="J169">
        <f>IF(TbRegistroEntradas[[#This Row],[Data do Caixa Realizado]]="",0,YEAR(TbRegistroEntradas[[#This Row],[Data do Caixa Realizado]]))</f>
        <v>2019</v>
      </c>
      <c r="K169">
        <f>IF(TbRegistroEntradas[[#This Row],[Data da Competência]]="",0,MONTH(TbRegistroEntradas[[#This Row],[Data da Competência]]))</f>
        <v>12</v>
      </c>
      <c r="L169">
        <f>IF(TbRegistroEntradas[[#This Row],[Data da Competência]]="",0,YEAR(TbRegistroEntradas[[#This Row],[Data da Competência]]))</f>
        <v>2018</v>
      </c>
      <c r="M169">
        <f>IF(TbRegistroEntradas[[#This Row],[Data do Caixa Previsto]]="",0,MONTH(TbRegistroEntradas[[#This Row],[Data do Caixa Previsto]]))</f>
        <v>1</v>
      </c>
      <c r="N169">
        <f>IF(TbRegistroEntradas[[#This Row],[Data do Caixa Previsto]]="",0,YEAR(TbRegistroEntradas[[#This Row],[Data do Caixa Previsto]]))</f>
        <v>2019</v>
      </c>
      <c r="O169" t="str">
        <f ca="1">IF(AND(TbRegistroEntradas[[#This Row],[Data do Caixa Previsto]]&lt;TODAY(),TbRegistroEntradas[[#This Row],[Data do Caixa Realizado]]=""),"Vencida","Não Vencida")</f>
        <v>Não Vencida</v>
      </c>
      <c r="P169" t="str">
        <f>IF(TbRegistroEntradas[[#This Row],[Data da Competência]]=TbRegistroEntradas[[#This Row],[Data do Caixa Previsto]],"Vista","Prazo")</f>
        <v>Prazo</v>
      </c>
      <c r="Q16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34</v>
      </c>
    </row>
    <row r="170" spans="2:17" x14ac:dyDescent="0.25">
      <c r="B170" s="8">
        <v>43459</v>
      </c>
      <c r="C170" s="8">
        <v>43454</v>
      </c>
      <c r="D170" s="8">
        <v>43459</v>
      </c>
      <c r="E170" t="s">
        <v>23</v>
      </c>
      <c r="F170" t="s">
        <v>32</v>
      </c>
      <c r="G170" t="s">
        <v>224</v>
      </c>
      <c r="H170" s="9">
        <v>2088</v>
      </c>
      <c r="I170">
        <f>IF(TbRegistroEntradas[[#This Row],[Data do Caixa Realizado]]="",0,MONTH(TbRegistroEntradas[[#This Row],[Data do Caixa Realizado]]))</f>
        <v>12</v>
      </c>
      <c r="J170">
        <f>IF(TbRegistroEntradas[[#This Row],[Data do Caixa Realizado]]="",0,YEAR(TbRegistroEntradas[[#This Row],[Data do Caixa Realizado]]))</f>
        <v>2018</v>
      </c>
      <c r="K170">
        <f>IF(TbRegistroEntradas[[#This Row],[Data da Competência]]="",0,MONTH(TbRegistroEntradas[[#This Row],[Data da Competência]]))</f>
        <v>12</v>
      </c>
      <c r="L170">
        <f>IF(TbRegistroEntradas[[#This Row],[Data da Competência]]="",0,YEAR(TbRegistroEntradas[[#This Row],[Data da Competência]]))</f>
        <v>2018</v>
      </c>
      <c r="M170">
        <f>IF(TbRegistroEntradas[[#This Row],[Data do Caixa Previsto]]="",0,MONTH(TbRegistroEntradas[[#This Row],[Data do Caixa Previsto]]))</f>
        <v>12</v>
      </c>
      <c r="N170">
        <f>IF(TbRegistroEntradas[[#This Row],[Data do Caixa Previsto]]="",0,YEAR(TbRegistroEntradas[[#This Row],[Data do Caixa Previsto]]))</f>
        <v>2018</v>
      </c>
      <c r="O170" t="str">
        <f ca="1">IF(AND(TbRegistroEntradas[[#This Row],[Data do Caixa Previsto]]&lt;TODAY(),TbRegistroEntradas[[#This Row],[Data do Caixa Realizado]]=""),"Vencida","Não Vencida")</f>
        <v>Não Vencida</v>
      </c>
      <c r="P170" t="str">
        <f>IF(TbRegistroEntradas[[#This Row],[Data da Competência]]=TbRegistroEntradas[[#This Row],[Data do Caixa Previsto]],"Vista","Prazo")</f>
        <v>Prazo</v>
      </c>
      <c r="Q17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1" spans="2:17" x14ac:dyDescent="0.25">
      <c r="B171" s="8">
        <v>43497</v>
      </c>
      <c r="C171" s="8">
        <v>43455</v>
      </c>
      <c r="D171" s="8">
        <v>43497</v>
      </c>
      <c r="E171" t="s">
        <v>23</v>
      </c>
      <c r="F171" t="s">
        <v>35</v>
      </c>
      <c r="G171" t="s">
        <v>225</v>
      </c>
      <c r="H171" s="9">
        <v>1168</v>
      </c>
      <c r="I171">
        <f>IF(TbRegistroEntradas[[#This Row],[Data do Caixa Realizado]]="",0,MONTH(TbRegistroEntradas[[#This Row],[Data do Caixa Realizado]]))</f>
        <v>2</v>
      </c>
      <c r="J171">
        <f>IF(TbRegistroEntradas[[#This Row],[Data do Caixa Realizado]]="",0,YEAR(TbRegistroEntradas[[#This Row],[Data do Caixa Realizado]]))</f>
        <v>2019</v>
      </c>
      <c r="K171">
        <f>IF(TbRegistroEntradas[[#This Row],[Data da Competência]]="",0,MONTH(TbRegistroEntradas[[#This Row],[Data da Competência]]))</f>
        <v>12</v>
      </c>
      <c r="L171">
        <f>IF(TbRegistroEntradas[[#This Row],[Data da Competência]]="",0,YEAR(TbRegistroEntradas[[#This Row],[Data da Competência]]))</f>
        <v>2018</v>
      </c>
      <c r="M171">
        <f>IF(TbRegistroEntradas[[#This Row],[Data do Caixa Previsto]]="",0,MONTH(TbRegistroEntradas[[#This Row],[Data do Caixa Previsto]]))</f>
        <v>2</v>
      </c>
      <c r="N171">
        <f>IF(TbRegistroEntradas[[#This Row],[Data do Caixa Previsto]]="",0,YEAR(TbRegistroEntradas[[#This Row],[Data do Caixa Previsto]]))</f>
        <v>2019</v>
      </c>
      <c r="O171" t="str">
        <f ca="1">IF(AND(TbRegistroEntradas[[#This Row],[Data do Caixa Previsto]]&lt;TODAY(),TbRegistroEntradas[[#This Row],[Data do Caixa Realizado]]=""),"Vencida","Não Vencida")</f>
        <v>Não Vencida</v>
      </c>
      <c r="P171" t="str">
        <f>IF(TbRegistroEntradas[[#This Row],[Data da Competência]]=TbRegistroEntradas[[#This Row],[Data do Caixa Previsto]],"Vista","Prazo")</f>
        <v>Prazo</v>
      </c>
      <c r="Q17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2" spans="2:17" x14ac:dyDescent="0.25">
      <c r="B172" s="8">
        <v>43457</v>
      </c>
      <c r="C172" s="8">
        <v>43457</v>
      </c>
      <c r="D172" s="8">
        <v>43457</v>
      </c>
      <c r="E172" t="s">
        <v>23</v>
      </c>
      <c r="F172" t="s">
        <v>35</v>
      </c>
      <c r="G172" t="s">
        <v>226</v>
      </c>
      <c r="H172" s="9">
        <v>4429</v>
      </c>
      <c r="I172">
        <f>IF(TbRegistroEntradas[[#This Row],[Data do Caixa Realizado]]="",0,MONTH(TbRegistroEntradas[[#This Row],[Data do Caixa Realizado]]))</f>
        <v>12</v>
      </c>
      <c r="J172">
        <f>IF(TbRegistroEntradas[[#This Row],[Data do Caixa Realizado]]="",0,YEAR(TbRegistroEntradas[[#This Row],[Data do Caixa Realizado]]))</f>
        <v>2018</v>
      </c>
      <c r="K172">
        <f>IF(TbRegistroEntradas[[#This Row],[Data da Competência]]="",0,MONTH(TbRegistroEntradas[[#This Row],[Data da Competência]]))</f>
        <v>12</v>
      </c>
      <c r="L172">
        <f>IF(TbRegistroEntradas[[#This Row],[Data da Competência]]="",0,YEAR(TbRegistroEntradas[[#This Row],[Data da Competência]]))</f>
        <v>2018</v>
      </c>
      <c r="M172">
        <f>IF(TbRegistroEntradas[[#This Row],[Data do Caixa Previsto]]="",0,MONTH(TbRegistroEntradas[[#This Row],[Data do Caixa Previsto]]))</f>
        <v>12</v>
      </c>
      <c r="N172">
        <f>IF(TbRegistroEntradas[[#This Row],[Data do Caixa Previsto]]="",0,YEAR(TbRegistroEntradas[[#This Row],[Data do Caixa Previsto]]))</f>
        <v>2018</v>
      </c>
      <c r="O172" t="str">
        <f ca="1">IF(AND(TbRegistroEntradas[[#This Row],[Data do Caixa Previsto]]&lt;TODAY(),TbRegistroEntradas[[#This Row],[Data do Caixa Realizado]]=""),"Vencida","Não Vencida")</f>
        <v>Não Vencida</v>
      </c>
      <c r="P172" t="str">
        <f>IF(TbRegistroEntradas[[#This Row],[Data da Competência]]=TbRegistroEntradas[[#This Row],[Data do Caixa Previsto]],"Vista","Prazo")</f>
        <v>Vista</v>
      </c>
      <c r="Q17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3" spans="2:17" x14ac:dyDescent="0.25">
      <c r="B173" s="8">
        <v>43519</v>
      </c>
      <c r="C173" s="8">
        <v>43462</v>
      </c>
      <c r="D173" s="8">
        <v>43519</v>
      </c>
      <c r="E173" t="s">
        <v>23</v>
      </c>
      <c r="F173" t="s">
        <v>34</v>
      </c>
      <c r="G173" t="s">
        <v>227</v>
      </c>
      <c r="H173" s="9">
        <v>4955</v>
      </c>
      <c r="I173">
        <f>IF(TbRegistroEntradas[[#This Row],[Data do Caixa Realizado]]="",0,MONTH(TbRegistroEntradas[[#This Row],[Data do Caixa Realizado]]))</f>
        <v>2</v>
      </c>
      <c r="J173">
        <f>IF(TbRegistroEntradas[[#This Row],[Data do Caixa Realizado]]="",0,YEAR(TbRegistroEntradas[[#This Row],[Data do Caixa Realizado]]))</f>
        <v>2019</v>
      </c>
      <c r="K173">
        <f>IF(TbRegistroEntradas[[#This Row],[Data da Competência]]="",0,MONTH(TbRegistroEntradas[[#This Row],[Data da Competência]]))</f>
        <v>12</v>
      </c>
      <c r="L173">
        <f>IF(TbRegistroEntradas[[#This Row],[Data da Competência]]="",0,YEAR(TbRegistroEntradas[[#This Row],[Data da Competência]]))</f>
        <v>2018</v>
      </c>
      <c r="M173">
        <f>IF(TbRegistroEntradas[[#This Row],[Data do Caixa Previsto]]="",0,MONTH(TbRegistroEntradas[[#This Row],[Data do Caixa Previsto]]))</f>
        <v>2</v>
      </c>
      <c r="N173">
        <f>IF(TbRegistroEntradas[[#This Row],[Data do Caixa Previsto]]="",0,YEAR(TbRegistroEntradas[[#This Row],[Data do Caixa Previsto]]))</f>
        <v>2019</v>
      </c>
      <c r="O173" t="str">
        <f ca="1">IF(AND(TbRegistroEntradas[[#This Row],[Data do Caixa Previsto]]&lt;TODAY(),TbRegistroEntradas[[#This Row],[Data do Caixa Realizado]]=""),"Vencida","Não Vencida")</f>
        <v>Não Vencida</v>
      </c>
      <c r="P173" t="str">
        <f>IF(TbRegistroEntradas[[#This Row],[Data da Competência]]=TbRegistroEntradas[[#This Row],[Data do Caixa Previsto]],"Vista","Prazo")</f>
        <v>Prazo</v>
      </c>
      <c r="Q17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4" spans="2:17" x14ac:dyDescent="0.25">
      <c r="B174" s="8">
        <v>43483</v>
      </c>
      <c r="C174" s="8">
        <v>43465</v>
      </c>
      <c r="D174" s="8">
        <v>43483</v>
      </c>
      <c r="E174" t="s">
        <v>23</v>
      </c>
      <c r="F174" t="s">
        <v>34</v>
      </c>
      <c r="G174" t="s">
        <v>228</v>
      </c>
      <c r="H174" s="9">
        <v>3201</v>
      </c>
      <c r="I174">
        <f>IF(TbRegistroEntradas[[#This Row],[Data do Caixa Realizado]]="",0,MONTH(TbRegistroEntradas[[#This Row],[Data do Caixa Realizado]]))</f>
        <v>1</v>
      </c>
      <c r="J174">
        <f>IF(TbRegistroEntradas[[#This Row],[Data do Caixa Realizado]]="",0,YEAR(TbRegistroEntradas[[#This Row],[Data do Caixa Realizado]]))</f>
        <v>2019</v>
      </c>
      <c r="K174">
        <f>IF(TbRegistroEntradas[[#This Row],[Data da Competência]]="",0,MONTH(TbRegistroEntradas[[#This Row],[Data da Competência]]))</f>
        <v>12</v>
      </c>
      <c r="L174">
        <f>IF(TbRegistroEntradas[[#This Row],[Data da Competência]]="",0,YEAR(TbRegistroEntradas[[#This Row],[Data da Competência]]))</f>
        <v>2018</v>
      </c>
      <c r="M174">
        <f>IF(TbRegistroEntradas[[#This Row],[Data do Caixa Previsto]]="",0,MONTH(TbRegistroEntradas[[#This Row],[Data do Caixa Previsto]]))</f>
        <v>1</v>
      </c>
      <c r="N174">
        <f>IF(TbRegistroEntradas[[#This Row],[Data do Caixa Previsto]]="",0,YEAR(TbRegistroEntradas[[#This Row],[Data do Caixa Previsto]]))</f>
        <v>2019</v>
      </c>
      <c r="O174" t="str">
        <f ca="1">IF(AND(TbRegistroEntradas[[#This Row],[Data do Caixa Previsto]]&lt;TODAY(),TbRegistroEntradas[[#This Row],[Data do Caixa Realizado]]=""),"Vencida","Não Vencida")</f>
        <v>Não Vencida</v>
      </c>
      <c r="P174" t="str">
        <f>IF(TbRegistroEntradas[[#This Row],[Data da Competência]]=TbRegistroEntradas[[#This Row],[Data do Caixa Previsto]],"Vista","Prazo")</f>
        <v>Prazo</v>
      </c>
      <c r="Q17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5" spans="2:17" x14ac:dyDescent="0.25">
      <c r="B175" s="8">
        <v>43511</v>
      </c>
      <c r="C175" s="8">
        <v>43469</v>
      </c>
      <c r="D175" s="8">
        <v>43511</v>
      </c>
      <c r="E175" t="s">
        <v>23</v>
      </c>
      <c r="F175" t="s">
        <v>33</v>
      </c>
      <c r="G175" t="s">
        <v>229</v>
      </c>
      <c r="H175" s="9">
        <v>3007</v>
      </c>
      <c r="I175">
        <f>IF(TbRegistroEntradas[[#This Row],[Data do Caixa Realizado]]="",0,MONTH(TbRegistroEntradas[[#This Row],[Data do Caixa Realizado]]))</f>
        <v>2</v>
      </c>
      <c r="J175">
        <f>IF(TbRegistroEntradas[[#This Row],[Data do Caixa Realizado]]="",0,YEAR(TbRegistroEntradas[[#This Row],[Data do Caixa Realizado]]))</f>
        <v>2019</v>
      </c>
      <c r="K175">
        <f>IF(TbRegistroEntradas[[#This Row],[Data da Competência]]="",0,MONTH(TbRegistroEntradas[[#This Row],[Data da Competência]]))</f>
        <v>1</v>
      </c>
      <c r="L175">
        <f>IF(TbRegistroEntradas[[#This Row],[Data da Competência]]="",0,YEAR(TbRegistroEntradas[[#This Row],[Data da Competência]]))</f>
        <v>2019</v>
      </c>
      <c r="M175">
        <f>IF(TbRegistroEntradas[[#This Row],[Data do Caixa Previsto]]="",0,MONTH(TbRegistroEntradas[[#This Row],[Data do Caixa Previsto]]))</f>
        <v>2</v>
      </c>
      <c r="N175">
        <f>IF(TbRegistroEntradas[[#This Row],[Data do Caixa Previsto]]="",0,YEAR(TbRegistroEntradas[[#This Row],[Data do Caixa Previsto]]))</f>
        <v>2019</v>
      </c>
      <c r="O175" t="str">
        <f ca="1">IF(AND(TbRegistroEntradas[[#This Row],[Data do Caixa Previsto]]&lt;TODAY(),TbRegistroEntradas[[#This Row],[Data do Caixa Realizado]]=""),"Vencida","Não Vencida")</f>
        <v>Não Vencida</v>
      </c>
      <c r="P175" t="str">
        <f>IF(TbRegistroEntradas[[#This Row],[Data da Competência]]=TbRegistroEntradas[[#This Row],[Data do Caixa Previsto]],"Vista","Prazo")</f>
        <v>Prazo</v>
      </c>
      <c r="Q17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6" spans="2:17" x14ac:dyDescent="0.25">
      <c r="B176" s="8">
        <v>43473</v>
      </c>
      <c r="C176" s="8">
        <v>43473</v>
      </c>
      <c r="D176" s="8">
        <v>43473</v>
      </c>
      <c r="E176" t="s">
        <v>23</v>
      </c>
      <c r="F176" t="s">
        <v>35</v>
      </c>
      <c r="G176" t="s">
        <v>230</v>
      </c>
      <c r="H176" s="9">
        <v>900</v>
      </c>
      <c r="I176">
        <f>IF(TbRegistroEntradas[[#This Row],[Data do Caixa Realizado]]="",0,MONTH(TbRegistroEntradas[[#This Row],[Data do Caixa Realizado]]))</f>
        <v>1</v>
      </c>
      <c r="J176">
        <f>IF(TbRegistroEntradas[[#This Row],[Data do Caixa Realizado]]="",0,YEAR(TbRegistroEntradas[[#This Row],[Data do Caixa Realizado]]))</f>
        <v>2019</v>
      </c>
      <c r="K176">
        <f>IF(TbRegistroEntradas[[#This Row],[Data da Competência]]="",0,MONTH(TbRegistroEntradas[[#This Row],[Data da Competência]]))</f>
        <v>1</v>
      </c>
      <c r="L176">
        <f>IF(TbRegistroEntradas[[#This Row],[Data da Competência]]="",0,YEAR(TbRegistroEntradas[[#This Row],[Data da Competência]]))</f>
        <v>2019</v>
      </c>
      <c r="M176">
        <f>IF(TbRegistroEntradas[[#This Row],[Data do Caixa Previsto]]="",0,MONTH(TbRegistroEntradas[[#This Row],[Data do Caixa Previsto]]))</f>
        <v>1</v>
      </c>
      <c r="N176">
        <f>IF(TbRegistroEntradas[[#This Row],[Data do Caixa Previsto]]="",0,YEAR(TbRegistroEntradas[[#This Row],[Data do Caixa Previsto]]))</f>
        <v>2019</v>
      </c>
      <c r="O176" t="str">
        <f ca="1">IF(AND(TbRegistroEntradas[[#This Row],[Data do Caixa Previsto]]&lt;TODAY(),TbRegistroEntradas[[#This Row],[Data do Caixa Realizado]]=""),"Vencida","Não Vencida")</f>
        <v>Não Vencida</v>
      </c>
      <c r="P176" t="str">
        <f>IF(TbRegistroEntradas[[#This Row],[Data da Competência]]=TbRegistroEntradas[[#This Row],[Data do Caixa Previsto]],"Vista","Prazo")</f>
        <v>Vista</v>
      </c>
      <c r="Q17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7" spans="2:17" x14ac:dyDescent="0.25">
      <c r="B177" s="8">
        <v>43478</v>
      </c>
      <c r="C177" s="8">
        <v>43478</v>
      </c>
      <c r="D177" s="8">
        <v>43478</v>
      </c>
      <c r="E177" t="s">
        <v>23</v>
      </c>
      <c r="F177" t="s">
        <v>34</v>
      </c>
      <c r="G177" t="s">
        <v>231</v>
      </c>
      <c r="H177" s="9">
        <v>2970</v>
      </c>
      <c r="I177">
        <f>IF(TbRegistroEntradas[[#This Row],[Data do Caixa Realizado]]="",0,MONTH(TbRegistroEntradas[[#This Row],[Data do Caixa Realizado]]))</f>
        <v>1</v>
      </c>
      <c r="J177">
        <f>IF(TbRegistroEntradas[[#This Row],[Data do Caixa Realizado]]="",0,YEAR(TbRegistroEntradas[[#This Row],[Data do Caixa Realizado]]))</f>
        <v>2019</v>
      </c>
      <c r="K177">
        <f>IF(TbRegistroEntradas[[#This Row],[Data da Competência]]="",0,MONTH(TbRegistroEntradas[[#This Row],[Data da Competência]]))</f>
        <v>1</v>
      </c>
      <c r="L177">
        <f>IF(TbRegistroEntradas[[#This Row],[Data da Competência]]="",0,YEAR(TbRegistroEntradas[[#This Row],[Data da Competência]]))</f>
        <v>2019</v>
      </c>
      <c r="M177">
        <f>IF(TbRegistroEntradas[[#This Row],[Data do Caixa Previsto]]="",0,MONTH(TbRegistroEntradas[[#This Row],[Data do Caixa Previsto]]))</f>
        <v>1</v>
      </c>
      <c r="N177">
        <f>IF(TbRegistroEntradas[[#This Row],[Data do Caixa Previsto]]="",0,YEAR(TbRegistroEntradas[[#This Row],[Data do Caixa Previsto]]))</f>
        <v>2019</v>
      </c>
      <c r="O177" t="str">
        <f ca="1">IF(AND(TbRegistroEntradas[[#This Row],[Data do Caixa Previsto]]&lt;TODAY(),TbRegistroEntradas[[#This Row],[Data do Caixa Realizado]]=""),"Vencida","Não Vencida")</f>
        <v>Não Vencida</v>
      </c>
      <c r="P177" t="str">
        <f>IF(TbRegistroEntradas[[#This Row],[Data da Competência]]=TbRegistroEntradas[[#This Row],[Data do Caixa Previsto]],"Vista","Prazo")</f>
        <v>Vista</v>
      </c>
      <c r="Q17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8" spans="2:17" x14ac:dyDescent="0.25">
      <c r="B178" s="8">
        <v>43538</v>
      </c>
      <c r="C178" s="8">
        <v>43482</v>
      </c>
      <c r="D178" s="8">
        <v>43538</v>
      </c>
      <c r="E178" t="s">
        <v>23</v>
      </c>
      <c r="F178" t="s">
        <v>31</v>
      </c>
      <c r="G178" t="s">
        <v>232</v>
      </c>
      <c r="H178" s="9">
        <v>4993</v>
      </c>
      <c r="I178">
        <f>IF(TbRegistroEntradas[[#This Row],[Data do Caixa Realizado]]="",0,MONTH(TbRegistroEntradas[[#This Row],[Data do Caixa Realizado]]))</f>
        <v>3</v>
      </c>
      <c r="J178">
        <f>IF(TbRegistroEntradas[[#This Row],[Data do Caixa Realizado]]="",0,YEAR(TbRegistroEntradas[[#This Row],[Data do Caixa Realizado]]))</f>
        <v>2019</v>
      </c>
      <c r="K178">
        <f>IF(TbRegistroEntradas[[#This Row],[Data da Competência]]="",0,MONTH(TbRegistroEntradas[[#This Row],[Data da Competência]]))</f>
        <v>1</v>
      </c>
      <c r="L178">
        <f>IF(TbRegistroEntradas[[#This Row],[Data da Competência]]="",0,YEAR(TbRegistroEntradas[[#This Row],[Data da Competência]]))</f>
        <v>2019</v>
      </c>
      <c r="M178">
        <f>IF(TbRegistroEntradas[[#This Row],[Data do Caixa Previsto]]="",0,MONTH(TbRegistroEntradas[[#This Row],[Data do Caixa Previsto]]))</f>
        <v>3</v>
      </c>
      <c r="N178">
        <f>IF(TbRegistroEntradas[[#This Row],[Data do Caixa Previsto]]="",0,YEAR(TbRegistroEntradas[[#This Row],[Data do Caixa Previsto]]))</f>
        <v>2019</v>
      </c>
      <c r="O178" t="str">
        <f ca="1">IF(AND(TbRegistroEntradas[[#This Row],[Data do Caixa Previsto]]&lt;TODAY(),TbRegistroEntradas[[#This Row],[Data do Caixa Realizado]]=""),"Vencida","Não Vencida")</f>
        <v>Não Vencida</v>
      </c>
      <c r="P178" t="str">
        <f>IF(TbRegistroEntradas[[#This Row],[Data da Competência]]=TbRegistroEntradas[[#This Row],[Data do Caixa Previsto]],"Vista","Prazo")</f>
        <v>Prazo</v>
      </c>
      <c r="Q17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79" spans="2:17" x14ac:dyDescent="0.25">
      <c r="B179" s="8">
        <v>43485</v>
      </c>
      <c r="C179" s="8">
        <v>43485</v>
      </c>
      <c r="D179" s="8">
        <v>43485</v>
      </c>
      <c r="E179" t="s">
        <v>23</v>
      </c>
      <c r="F179" t="s">
        <v>35</v>
      </c>
      <c r="G179" t="s">
        <v>233</v>
      </c>
      <c r="H179" s="9">
        <v>1664</v>
      </c>
      <c r="I179">
        <f>IF(TbRegistroEntradas[[#This Row],[Data do Caixa Realizado]]="",0,MONTH(TbRegistroEntradas[[#This Row],[Data do Caixa Realizado]]))</f>
        <v>1</v>
      </c>
      <c r="J179">
        <f>IF(TbRegistroEntradas[[#This Row],[Data do Caixa Realizado]]="",0,YEAR(TbRegistroEntradas[[#This Row],[Data do Caixa Realizado]]))</f>
        <v>2019</v>
      </c>
      <c r="K179">
        <f>IF(TbRegistroEntradas[[#This Row],[Data da Competência]]="",0,MONTH(TbRegistroEntradas[[#This Row],[Data da Competência]]))</f>
        <v>1</v>
      </c>
      <c r="L179">
        <f>IF(TbRegistroEntradas[[#This Row],[Data da Competência]]="",0,YEAR(TbRegistroEntradas[[#This Row],[Data da Competência]]))</f>
        <v>2019</v>
      </c>
      <c r="M179">
        <f>IF(TbRegistroEntradas[[#This Row],[Data do Caixa Previsto]]="",0,MONTH(TbRegistroEntradas[[#This Row],[Data do Caixa Previsto]]))</f>
        <v>1</v>
      </c>
      <c r="N179">
        <f>IF(TbRegistroEntradas[[#This Row],[Data do Caixa Previsto]]="",0,YEAR(TbRegistroEntradas[[#This Row],[Data do Caixa Previsto]]))</f>
        <v>2019</v>
      </c>
      <c r="O179" t="str">
        <f ca="1">IF(AND(TbRegistroEntradas[[#This Row],[Data do Caixa Previsto]]&lt;TODAY(),TbRegistroEntradas[[#This Row],[Data do Caixa Realizado]]=""),"Vencida","Não Vencida")</f>
        <v>Não Vencida</v>
      </c>
      <c r="P179" t="str">
        <f>IF(TbRegistroEntradas[[#This Row],[Data da Competência]]=TbRegistroEntradas[[#This Row],[Data do Caixa Previsto]],"Vista","Prazo")</f>
        <v>Vista</v>
      </c>
      <c r="Q17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0" spans="2:17" x14ac:dyDescent="0.25">
      <c r="B180" s="8" t="s">
        <v>68</v>
      </c>
      <c r="C180" s="8">
        <v>43486</v>
      </c>
      <c r="D180" s="8">
        <v>43522</v>
      </c>
      <c r="E180" t="s">
        <v>23</v>
      </c>
      <c r="F180" t="s">
        <v>34</v>
      </c>
      <c r="G180" t="s">
        <v>234</v>
      </c>
      <c r="H180" s="9">
        <v>1815</v>
      </c>
      <c r="I180">
        <f>IF(TbRegistroEntradas[[#This Row],[Data do Caixa Realizado]]="",0,MONTH(TbRegistroEntradas[[#This Row],[Data do Caixa Realizado]]))</f>
        <v>0</v>
      </c>
      <c r="J180">
        <f>IF(TbRegistroEntradas[[#This Row],[Data do Caixa Realizado]]="",0,YEAR(TbRegistroEntradas[[#This Row],[Data do Caixa Realizado]]))</f>
        <v>0</v>
      </c>
      <c r="K180">
        <f>IF(TbRegistroEntradas[[#This Row],[Data da Competência]]="",0,MONTH(TbRegistroEntradas[[#This Row],[Data da Competência]]))</f>
        <v>1</v>
      </c>
      <c r="L180">
        <f>IF(TbRegistroEntradas[[#This Row],[Data da Competência]]="",0,YEAR(TbRegistroEntradas[[#This Row],[Data da Competência]]))</f>
        <v>2019</v>
      </c>
      <c r="M180">
        <f>IF(TbRegistroEntradas[[#This Row],[Data do Caixa Previsto]]="",0,MONTH(TbRegistroEntradas[[#This Row],[Data do Caixa Previsto]]))</f>
        <v>2</v>
      </c>
      <c r="N180">
        <f>IF(TbRegistroEntradas[[#This Row],[Data do Caixa Previsto]]="",0,YEAR(TbRegistroEntradas[[#This Row],[Data do Caixa Previsto]]))</f>
        <v>2019</v>
      </c>
      <c r="O180" t="str">
        <f ca="1">IF(AND(TbRegistroEntradas[[#This Row],[Data do Caixa Previsto]]&lt;TODAY(),TbRegistroEntradas[[#This Row],[Data do Caixa Realizado]]=""),"Vencida","Não Vencida")</f>
        <v>Vencida</v>
      </c>
      <c r="P180" t="str">
        <f>IF(TbRegistroEntradas[[#This Row],[Data da Competência]]=TbRegistroEntradas[[#This Row],[Data do Caixa Previsto]],"Vista","Prazo")</f>
        <v>Prazo</v>
      </c>
      <c r="Q18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1393</v>
      </c>
    </row>
    <row r="181" spans="2:17" x14ac:dyDescent="0.25">
      <c r="B181" s="8">
        <v>43505</v>
      </c>
      <c r="C181" s="8">
        <v>43488</v>
      </c>
      <c r="D181" s="8">
        <v>43505</v>
      </c>
      <c r="E181" t="s">
        <v>23</v>
      </c>
      <c r="F181" t="s">
        <v>33</v>
      </c>
      <c r="G181" t="s">
        <v>235</v>
      </c>
      <c r="H181" s="9">
        <v>3752</v>
      </c>
      <c r="I181">
        <f>IF(TbRegistroEntradas[[#This Row],[Data do Caixa Realizado]]="",0,MONTH(TbRegistroEntradas[[#This Row],[Data do Caixa Realizado]]))</f>
        <v>2</v>
      </c>
      <c r="J181">
        <f>IF(TbRegistroEntradas[[#This Row],[Data do Caixa Realizado]]="",0,YEAR(TbRegistroEntradas[[#This Row],[Data do Caixa Realizado]]))</f>
        <v>2019</v>
      </c>
      <c r="K181">
        <f>IF(TbRegistroEntradas[[#This Row],[Data da Competência]]="",0,MONTH(TbRegistroEntradas[[#This Row],[Data da Competência]]))</f>
        <v>1</v>
      </c>
      <c r="L181">
        <f>IF(TbRegistroEntradas[[#This Row],[Data da Competência]]="",0,YEAR(TbRegistroEntradas[[#This Row],[Data da Competência]]))</f>
        <v>2019</v>
      </c>
      <c r="M181">
        <f>IF(TbRegistroEntradas[[#This Row],[Data do Caixa Previsto]]="",0,MONTH(TbRegistroEntradas[[#This Row],[Data do Caixa Previsto]]))</f>
        <v>2</v>
      </c>
      <c r="N181">
        <f>IF(TbRegistroEntradas[[#This Row],[Data do Caixa Previsto]]="",0,YEAR(TbRegistroEntradas[[#This Row],[Data do Caixa Previsto]]))</f>
        <v>2019</v>
      </c>
      <c r="O181" t="str">
        <f ca="1">IF(AND(TbRegistroEntradas[[#This Row],[Data do Caixa Previsto]]&lt;TODAY(),TbRegistroEntradas[[#This Row],[Data do Caixa Realizado]]=""),"Vencida","Não Vencida")</f>
        <v>Não Vencida</v>
      </c>
      <c r="P181" t="str">
        <f>IF(TbRegistroEntradas[[#This Row],[Data da Competência]]=TbRegistroEntradas[[#This Row],[Data do Caixa Previsto]],"Vista","Prazo")</f>
        <v>Prazo</v>
      </c>
      <c r="Q18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2" spans="2:17" x14ac:dyDescent="0.25">
      <c r="B182" s="8" t="s">
        <v>68</v>
      </c>
      <c r="C182" s="8">
        <v>43492</v>
      </c>
      <c r="D182" s="8">
        <v>43513</v>
      </c>
      <c r="E182" t="s">
        <v>23</v>
      </c>
      <c r="F182" t="s">
        <v>34</v>
      </c>
      <c r="G182" t="s">
        <v>236</v>
      </c>
      <c r="H182" s="9">
        <v>177</v>
      </c>
      <c r="I182">
        <f>IF(TbRegistroEntradas[[#This Row],[Data do Caixa Realizado]]="",0,MONTH(TbRegistroEntradas[[#This Row],[Data do Caixa Realizado]]))</f>
        <v>0</v>
      </c>
      <c r="J182">
        <f>IF(TbRegistroEntradas[[#This Row],[Data do Caixa Realizado]]="",0,YEAR(TbRegistroEntradas[[#This Row],[Data do Caixa Realizado]]))</f>
        <v>0</v>
      </c>
      <c r="K182">
        <f>IF(TbRegistroEntradas[[#This Row],[Data da Competência]]="",0,MONTH(TbRegistroEntradas[[#This Row],[Data da Competência]]))</f>
        <v>1</v>
      </c>
      <c r="L182">
        <f>IF(TbRegistroEntradas[[#This Row],[Data da Competência]]="",0,YEAR(TbRegistroEntradas[[#This Row],[Data da Competência]]))</f>
        <v>2019</v>
      </c>
      <c r="M182">
        <f>IF(TbRegistroEntradas[[#This Row],[Data do Caixa Previsto]]="",0,MONTH(TbRegistroEntradas[[#This Row],[Data do Caixa Previsto]]))</f>
        <v>2</v>
      </c>
      <c r="N182">
        <f>IF(TbRegistroEntradas[[#This Row],[Data do Caixa Previsto]]="",0,YEAR(TbRegistroEntradas[[#This Row],[Data do Caixa Previsto]]))</f>
        <v>2019</v>
      </c>
      <c r="O182" t="str">
        <f ca="1">IF(AND(TbRegistroEntradas[[#This Row],[Data do Caixa Previsto]]&lt;TODAY(),TbRegistroEntradas[[#This Row],[Data do Caixa Realizado]]=""),"Vencida","Não Vencida")</f>
        <v>Vencida</v>
      </c>
      <c r="P182" t="str">
        <f>IF(TbRegistroEntradas[[#This Row],[Data da Competência]]=TbRegistroEntradas[[#This Row],[Data do Caixa Previsto]],"Vista","Prazo")</f>
        <v>Prazo</v>
      </c>
      <c r="Q18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1402</v>
      </c>
    </row>
    <row r="183" spans="2:17" x14ac:dyDescent="0.25">
      <c r="B183" s="8">
        <v>43494</v>
      </c>
      <c r="C183" s="8">
        <v>43494</v>
      </c>
      <c r="D183" s="8">
        <v>43494</v>
      </c>
      <c r="E183" t="s">
        <v>23</v>
      </c>
      <c r="F183" t="s">
        <v>34</v>
      </c>
      <c r="G183" t="s">
        <v>237</v>
      </c>
      <c r="H183" s="9">
        <v>3619</v>
      </c>
      <c r="I183">
        <f>IF(TbRegistroEntradas[[#This Row],[Data do Caixa Realizado]]="",0,MONTH(TbRegistroEntradas[[#This Row],[Data do Caixa Realizado]]))</f>
        <v>1</v>
      </c>
      <c r="J183">
        <f>IF(TbRegistroEntradas[[#This Row],[Data do Caixa Realizado]]="",0,YEAR(TbRegistroEntradas[[#This Row],[Data do Caixa Realizado]]))</f>
        <v>2019</v>
      </c>
      <c r="K183">
        <f>IF(TbRegistroEntradas[[#This Row],[Data da Competência]]="",0,MONTH(TbRegistroEntradas[[#This Row],[Data da Competência]]))</f>
        <v>1</v>
      </c>
      <c r="L183">
        <f>IF(TbRegistroEntradas[[#This Row],[Data da Competência]]="",0,YEAR(TbRegistroEntradas[[#This Row],[Data da Competência]]))</f>
        <v>2019</v>
      </c>
      <c r="M183">
        <f>IF(TbRegistroEntradas[[#This Row],[Data do Caixa Previsto]]="",0,MONTH(TbRegistroEntradas[[#This Row],[Data do Caixa Previsto]]))</f>
        <v>1</v>
      </c>
      <c r="N183">
        <f>IF(TbRegistroEntradas[[#This Row],[Data do Caixa Previsto]]="",0,YEAR(TbRegistroEntradas[[#This Row],[Data do Caixa Previsto]]))</f>
        <v>2019</v>
      </c>
      <c r="O183" t="str">
        <f ca="1">IF(AND(TbRegistroEntradas[[#This Row],[Data do Caixa Previsto]]&lt;TODAY(),TbRegistroEntradas[[#This Row],[Data do Caixa Realizado]]=""),"Vencida","Não Vencida")</f>
        <v>Não Vencida</v>
      </c>
      <c r="P183" t="str">
        <f>IF(TbRegistroEntradas[[#This Row],[Data da Competência]]=TbRegistroEntradas[[#This Row],[Data do Caixa Previsto]],"Vista","Prazo")</f>
        <v>Vista</v>
      </c>
      <c r="Q18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4" spans="2:17" x14ac:dyDescent="0.25">
      <c r="B184" s="8">
        <v>43535</v>
      </c>
      <c r="C184" s="8">
        <v>43498</v>
      </c>
      <c r="D184" s="8">
        <v>43534</v>
      </c>
      <c r="E184" t="s">
        <v>23</v>
      </c>
      <c r="F184" t="s">
        <v>33</v>
      </c>
      <c r="G184" t="s">
        <v>238</v>
      </c>
      <c r="H184" s="9">
        <v>4030</v>
      </c>
      <c r="I184">
        <f>IF(TbRegistroEntradas[[#This Row],[Data do Caixa Realizado]]="",0,MONTH(TbRegistroEntradas[[#This Row],[Data do Caixa Realizado]]))</f>
        <v>3</v>
      </c>
      <c r="J184">
        <f>IF(TbRegistroEntradas[[#This Row],[Data do Caixa Realizado]]="",0,YEAR(TbRegistroEntradas[[#This Row],[Data do Caixa Realizado]]))</f>
        <v>2019</v>
      </c>
      <c r="K184">
        <f>IF(TbRegistroEntradas[[#This Row],[Data da Competência]]="",0,MONTH(TbRegistroEntradas[[#This Row],[Data da Competência]]))</f>
        <v>2</v>
      </c>
      <c r="L184">
        <f>IF(TbRegistroEntradas[[#This Row],[Data da Competência]]="",0,YEAR(TbRegistroEntradas[[#This Row],[Data da Competência]]))</f>
        <v>2019</v>
      </c>
      <c r="M184">
        <f>IF(TbRegistroEntradas[[#This Row],[Data do Caixa Previsto]]="",0,MONTH(TbRegistroEntradas[[#This Row],[Data do Caixa Previsto]]))</f>
        <v>3</v>
      </c>
      <c r="N184">
        <f>IF(TbRegistroEntradas[[#This Row],[Data do Caixa Previsto]]="",0,YEAR(TbRegistroEntradas[[#This Row],[Data do Caixa Previsto]]))</f>
        <v>2019</v>
      </c>
      <c r="O184" t="str">
        <f ca="1">IF(AND(TbRegistroEntradas[[#This Row],[Data do Caixa Previsto]]&lt;TODAY(),TbRegistroEntradas[[#This Row],[Data do Caixa Realizado]]=""),"Vencida","Não Vencida")</f>
        <v>Não Vencida</v>
      </c>
      <c r="P184" t="str">
        <f>IF(TbRegistroEntradas[[#This Row],[Data da Competência]]=TbRegistroEntradas[[#This Row],[Data do Caixa Previsto]],"Vista","Prazo")</f>
        <v>Prazo</v>
      </c>
      <c r="Q18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</v>
      </c>
    </row>
    <row r="185" spans="2:17" x14ac:dyDescent="0.25">
      <c r="B185" s="8">
        <v>43512</v>
      </c>
      <c r="C185" s="8">
        <v>43501</v>
      </c>
      <c r="D185" s="8">
        <v>43512</v>
      </c>
      <c r="E185" t="s">
        <v>23</v>
      </c>
      <c r="F185" t="s">
        <v>33</v>
      </c>
      <c r="G185" t="s">
        <v>239</v>
      </c>
      <c r="H185" s="9">
        <v>4157</v>
      </c>
      <c r="I185">
        <f>IF(TbRegistroEntradas[[#This Row],[Data do Caixa Realizado]]="",0,MONTH(TbRegistroEntradas[[#This Row],[Data do Caixa Realizado]]))</f>
        <v>2</v>
      </c>
      <c r="J185">
        <f>IF(TbRegistroEntradas[[#This Row],[Data do Caixa Realizado]]="",0,YEAR(TbRegistroEntradas[[#This Row],[Data do Caixa Realizado]]))</f>
        <v>2019</v>
      </c>
      <c r="K185">
        <f>IF(TbRegistroEntradas[[#This Row],[Data da Competência]]="",0,MONTH(TbRegistroEntradas[[#This Row],[Data da Competência]]))</f>
        <v>2</v>
      </c>
      <c r="L185">
        <f>IF(TbRegistroEntradas[[#This Row],[Data da Competência]]="",0,YEAR(TbRegistroEntradas[[#This Row],[Data da Competência]]))</f>
        <v>2019</v>
      </c>
      <c r="M185">
        <f>IF(TbRegistroEntradas[[#This Row],[Data do Caixa Previsto]]="",0,MONTH(TbRegistroEntradas[[#This Row],[Data do Caixa Previsto]]))</f>
        <v>2</v>
      </c>
      <c r="N185">
        <f>IF(TbRegistroEntradas[[#This Row],[Data do Caixa Previsto]]="",0,YEAR(TbRegistroEntradas[[#This Row],[Data do Caixa Previsto]]))</f>
        <v>2019</v>
      </c>
      <c r="O185" t="str">
        <f ca="1">IF(AND(TbRegistroEntradas[[#This Row],[Data do Caixa Previsto]]&lt;TODAY(),TbRegistroEntradas[[#This Row],[Data do Caixa Realizado]]=""),"Vencida","Não Vencida")</f>
        <v>Não Vencida</v>
      </c>
      <c r="P185" t="str">
        <f>IF(TbRegistroEntradas[[#This Row],[Data da Competência]]=TbRegistroEntradas[[#This Row],[Data do Caixa Previsto]],"Vista","Prazo")</f>
        <v>Prazo</v>
      </c>
      <c r="Q18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6" spans="2:17" x14ac:dyDescent="0.25">
      <c r="B186" s="8">
        <v>43532</v>
      </c>
      <c r="C186" s="8">
        <v>43502</v>
      </c>
      <c r="D186" s="8">
        <v>43532</v>
      </c>
      <c r="E186" t="s">
        <v>23</v>
      </c>
      <c r="F186" t="s">
        <v>32</v>
      </c>
      <c r="G186" t="s">
        <v>240</v>
      </c>
      <c r="H186" s="9">
        <v>1417</v>
      </c>
      <c r="I186">
        <f>IF(TbRegistroEntradas[[#This Row],[Data do Caixa Realizado]]="",0,MONTH(TbRegistroEntradas[[#This Row],[Data do Caixa Realizado]]))</f>
        <v>3</v>
      </c>
      <c r="J186">
        <f>IF(TbRegistroEntradas[[#This Row],[Data do Caixa Realizado]]="",0,YEAR(TbRegistroEntradas[[#This Row],[Data do Caixa Realizado]]))</f>
        <v>2019</v>
      </c>
      <c r="K186">
        <f>IF(TbRegistroEntradas[[#This Row],[Data da Competência]]="",0,MONTH(TbRegistroEntradas[[#This Row],[Data da Competência]]))</f>
        <v>2</v>
      </c>
      <c r="L186">
        <f>IF(TbRegistroEntradas[[#This Row],[Data da Competência]]="",0,YEAR(TbRegistroEntradas[[#This Row],[Data da Competência]]))</f>
        <v>2019</v>
      </c>
      <c r="M186">
        <f>IF(TbRegistroEntradas[[#This Row],[Data do Caixa Previsto]]="",0,MONTH(TbRegistroEntradas[[#This Row],[Data do Caixa Previsto]]))</f>
        <v>3</v>
      </c>
      <c r="N186">
        <f>IF(TbRegistroEntradas[[#This Row],[Data do Caixa Previsto]]="",0,YEAR(TbRegistroEntradas[[#This Row],[Data do Caixa Previsto]]))</f>
        <v>2019</v>
      </c>
      <c r="O186" t="str">
        <f ca="1">IF(AND(TbRegistroEntradas[[#This Row],[Data do Caixa Previsto]]&lt;TODAY(),TbRegistroEntradas[[#This Row],[Data do Caixa Realizado]]=""),"Vencida","Não Vencida")</f>
        <v>Não Vencida</v>
      </c>
      <c r="P186" t="str">
        <f>IF(TbRegistroEntradas[[#This Row],[Data da Competência]]=TbRegistroEntradas[[#This Row],[Data do Caixa Previsto]],"Vista","Prazo")</f>
        <v>Prazo</v>
      </c>
      <c r="Q18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7" spans="2:17" x14ac:dyDescent="0.25">
      <c r="B187" s="8">
        <v>43540</v>
      </c>
      <c r="C187" s="8">
        <v>43505</v>
      </c>
      <c r="D187" s="8">
        <v>43540</v>
      </c>
      <c r="E187" t="s">
        <v>23</v>
      </c>
      <c r="F187" t="s">
        <v>35</v>
      </c>
      <c r="G187" t="s">
        <v>241</v>
      </c>
      <c r="H187" s="9">
        <v>1117</v>
      </c>
      <c r="I187">
        <f>IF(TbRegistroEntradas[[#This Row],[Data do Caixa Realizado]]="",0,MONTH(TbRegistroEntradas[[#This Row],[Data do Caixa Realizado]]))</f>
        <v>3</v>
      </c>
      <c r="J187">
        <f>IF(TbRegistroEntradas[[#This Row],[Data do Caixa Realizado]]="",0,YEAR(TbRegistroEntradas[[#This Row],[Data do Caixa Realizado]]))</f>
        <v>2019</v>
      </c>
      <c r="K187">
        <f>IF(TbRegistroEntradas[[#This Row],[Data da Competência]]="",0,MONTH(TbRegistroEntradas[[#This Row],[Data da Competência]]))</f>
        <v>2</v>
      </c>
      <c r="L187">
        <f>IF(TbRegistroEntradas[[#This Row],[Data da Competência]]="",0,YEAR(TbRegistroEntradas[[#This Row],[Data da Competência]]))</f>
        <v>2019</v>
      </c>
      <c r="M187">
        <f>IF(TbRegistroEntradas[[#This Row],[Data do Caixa Previsto]]="",0,MONTH(TbRegistroEntradas[[#This Row],[Data do Caixa Previsto]]))</f>
        <v>3</v>
      </c>
      <c r="N187">
        <f>IF(TbRegistroEntradas[[#This Row],[Data do Caixa Previsto]]="",0,YEAR(TbRegistroEntradas[[#This Row],[Data do Caixa Previsto]]))</f>
        <v>2019</v>
      </c>
      <c r="O187" t="str">
        <f ca="1">IF(AND(TbRegistroEntradas[[#This Row],[Data do Caixa Previsto]]&lt;TODAY(),TbRegistroEntradas[[#This Row],[Data do Caixa Realizado]]=""),"Vencida","Não Vencida")</f>
        <v>Não Vencida</v>
      </c>
      <c r="P187" t="str">
        <f>IF(TbRegistroEntradas[[#This Row],[Data da Competência]]=TbRegistroEntradas[[#This Row],[Data do Caixa Previsto]],"Vista","Prazo")</f>
        <v>Prazo</v>
      </c>
      <c r="Q18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8" spans="2:17" x14ac:dyDescent="0.25">
      <c r="B188" s="8">
        <v>43541</v>
      </c>
      <c r="C188" s="8">
        <v>43506</v>
      </c>
      <c r="D188" s="8">
        <v>43541</v>
      </c>
      <c r="E188" t="s">
        <v>23</v>
      </c>
      <c r="F188" t="s">
        <v>31</v>
      </c>
      <c r="G188" t="s">
        <v>242</v>
      </c>
      <c r="H188" s="9">
        <v>4461</v>
      </c>
      <c r="I188">
        <f>IF(TbRegistroEntradas[[#This Row],[Data do Caixa Realizado]]="",0,MONTH(TbRegistroEntradas[[#This Row],[Data do Caixa Realizado]]))</f>
        <v>3</v>
      </c>
      <c r="J188">
        <f>IF(TbRegistroEntradas[[#This Row],[Data do Caixa Realizado]]="",0,YEAR(TbRegistroEntradas[[#This Row],[Data do Caixa Realizado]]))</f>
        <v>2019</v>
      </c>
      <c r="K188">
        <f>IF(TbRegistroEntradas[[#This Row],[Data da Competência]]="",0,MONTH(TbRegistroEntradas[[#This Row],[Data da Competência]]))</f>
        <v>2</v>
      </c>
      <c r="L188">
        <f>IF(TbRegistroEntradas[[#This Row],[Data da Competência]]="",0,YEAR(TbRegistroEntradas[[#This Row],[Data da Competência]]))</f>
        <v>2019</v>
      </c>
      <c r="M188">
        <f>IF(TbRegistroEntradas[[#This Row],[Data do Caixa Previsto]]="",0,MONTH(TbRegistroEntradas[[#This Row],[Data do Caixa Previsto]]))</f>
        <v>3</v>
      </c>
      <c r="N188">
        <f>IF(TbRegistroEntradas[[#This Row],[Data do Caixa Previsto]]="",0,YEAR(TbRegistroEntradas[[#This Row],[Data do Caixa Previsto]]))</f>
        <v>2019</v>
      </c>
      <c r="O188" t="str">
        <f ca="1">IF(AND(TbRegistroEntradas[[#This Row],[Data do Caixa Previsto]]&lt;TODAY(),TbRegistroEntradas[[#This Row],[Data do Caixa Realizado]]=""),"Vencida","Não Vencida")</f>
        <v>Não Vencida</v>
      </c>
      <c r="P188" t="str">
        <f>IF(TbRegistroEntradas[[#This Row],[Data da Competência]]=TbRegistroEntradas[[#This Row],[Data do Caixa Previsto]],"Vista","Prazo")</f>
        <v>Prazo</v>
      </c>
      <c r="Q18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89" spans="2:17" x14ac:dyDescent="0.25">
      <c r="B189" s="8">
        <v>43549</v>
      </c>
      <c r="C189" s="8">
        <v>43508</v>
      </c>
      <c r="D189" s="8">
        <v>43508</v>
      </c>
      <c r="E189" t="s">
        <v>23</v>
      </c>
      <c r="F189" t="s">
        <v>34</v>
      </c>
      <c r="G189" t="s">
        <v>243</v>
      </c>
      <c r="H189" s="9">
        <v>3732</v>
      </c>
      <c r="I189">
        <f>IF(TbRegistroEntradas[[#This Row],[Data do Caixa Realizado]]="",0,MONTH(TbRegistroEntradas[[#This Row],[Data do Caixa Realizado]]))</f>
        <v>3</v>
      </c>
      <c r="J189">
        <f>IF(TbRegistroEntradas[[#This Row],[Data do Caixa Realizado]]="",0,YEAR(TbRegistroEntradas[[#This Row],[Data do Caixa Realizado]]))</f>
        <v>2019</v>
      </c>
      <c r="K189">
        <f>IF(TbRegistroEntradas[[#This Row],[Data da Competência]]="",0,MONTH(TbRegistroEntradas[[#This Row],[Data da Competência]]))</f>
        <v>2</v>
      </c>
      <c r="L189">
        <f>IF(TbRegistroEntradas[[#This Row],[Data da Competência]]="",0,YEAR(TbRegistroEntradas[[#This Row],[Data da Competência]]))</f>
        <v>2019</v>
      </c>
      <c r="M189">
        <f>IF(TbRegistroEntradas[[#This Row],[Data do Caixa Previsto]]="",0,MONTH(TbRegistroEntradas[[#This Row],[Data do Caixa Previsto]]))</f>
        <v>2</v>
      </c>
      <c r="N189">
        <f>IF(TbRegistroEntradas[[#This Row],[Data do Caixa Previsto]]="",0,YEAR(TbRegistroEntradas[[#This Row],[Data do Caixa Previsto]]))</f>
        <v>2019</v>
      </c>
      <c r="O189" t="str">
        <f ca="1">IF(AND(TbRegistroEntradas[[#This Row],[Data do Caixa Previsto]]&lt;TODAY(),TbRegistroEntradas[[#This Row],[Data do Caixa Realizado]]=""),"Vencida","Não Vencida")</f>
        <v>Não Vencida</v>
      </c>
      <c r="P189" t="str">
        <f>IF(TbRegistroEntradas[[#This Row],[Data da Competência]]=TbRegistroEntradas[[#This Row],[Data do Caixa Previsto]],"Vista","Prazo")</f>
        <v>Vista</v>
      </c>
      <c r="Q18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41</v>
      </c>
    </row>
    <row r="190" spans="2:17" x14ac:dyDescent="0.25">
      <c r="B190" s="8">
        <v>43509</v>
      </c>
      <c r="C190" s="8">
        <v>43509</v>
      </c>
      <c r="D190" s="8">
        <v>43509</v>
      </c>
      <c r="E190" t="s">
        <v>23</v>
      </c>
      <c r="F190" t="s">
        <v>35</v>
      </c>
      <c r="G190" t="s">
        <v>244</v>
      </c>
      <c r="H190" s="9">
        <v>2024</v>
      </c>
      <c r="I190">
        <f>IF(TbRegistroEntradas[[#This Row],[Data do Caixa Realizado]]="",0,MONTH(TbRegistroEntradas[[#This Row],[Data do Caixa Realizado]]))</f>
        <v>2</v>
      </c>
      <c r="J190">
        <f>IF(TbRegistroEntradas[[#This Row],[Data do Caixa Realizado]]="",0,YEAR(TbRegistroEntradas[[#This Row],[Data do Caixa Realizado]]))</f>
        <v>2019</v>
      </c>
      <c r="K190">
        <f>IF(TbRegistroEntradas[[#This Row],[Data da Competência]]="",0,MONTH(TbRegistroEntradas[[#This Row],[Data da Competência]]))</f>
        <v>2</v>
      </c>
      <c r="L190">
        <f>IF(TbRegistroEntradas[[#This Row],[Data da Competência]]="",0,YEAR(TbRegistroEntradas[[#This Row],[Data da Competência]]))</f>
        <v>2019</v>
      </c>
      <c r="M190">
        <f>IF(TbRegistroEntradas[[#This Row],[Data do Caixa Previsto]]="",0,MONTH(TbRegistroEntradas[[#This Row],[Data do Caixa Previsto]]))</f>
        <v>2</v>
      </c>
      <c r="N190">
        <f>IF(TbRegistroEntradas[[#This Row],[Data do Caixa Previsto]]="",0,YEAR(TbRegistroEntradas[[#This Row],[Data do Caixa Previsto]]))</f>
        <v>2019</v>
      </c>
      <c r="O190" t="str">
        <f ca="1">IF(AND(TbRegistroEntradas[[#This Row],[Data do Caixa Previsto]]&lt;TODAY(),TbRegistroEntradas[[#This Row],[Data do Caixa Realizado]]=""),"Vencida","Não Vencida")</f>
        <v>Não Vencida</v>
      </c>
      <c r="P190" t="str">
        <f>IF(TbRegistroEntradas[[#This Row],[Data da Competência]]=TbRegistroEntradas[[#This Row],[Data do Caixa Previsto]],"Vista","Prazo")</f>
        <v>Vista</v>
      </c>
      <c r="Q19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1" spans="2:17" x14ac:dyDescent="0.25">
      <c r="B191" s="8">
        <v>43512</v>
      </c>
      <c r="C191" s="8">
        <v>43512</v>
      </c>
      <c r="D191" s="8">
        <v>43512</v>
      </c>
      <c r="E191" t="s">
        <v>23</v>
      </c>
      <c r="F191" t="s">
        <v>34</v>
      </c>
      <c r="G191" t="s">
        <v>245</v>
      </c>
      <c r="H191" s="9">
        <v>928</v>
      </c>
      <c r="I191">
        <f>IF(TbRegistroEntradas[[#This Row],[Data do Caixa Realizado]]="",0,MONTH(TbRegistroEntradas[[#This Row],[Data do Caixa Realizado]]))</f>
        <v>2</v>
      </c>
      <c r="J191">
        <f>IF(TbRegistroEntradas[[#This Row],[Data do Caixa Realizado]]="",0,YEAR(TbRegistroEntradas[[#This Row],[Data do Caixa Realizado]]))</f>
        <v>2019</v>
      </c>
      <c r="K191">
        <f>IF(TbRegistroEntradas[[#This Row],[Data da Competência]]="",0,MONTH(TbRegistroEntradas[[#This Row],[Data da Competência]]))</f>
        <v>2</v>
      </c>
      <c r="L191">
        <f>IF(TbRegistroEntradas[[#This Row],[Data da Competência]]="",0,YEAR(TbRegistroEntradas[[#This Row],[Data da Competência]]))</f>
        <v>2019</v>
      </c>
      <c r="M191">
        <f>IF(TbRegistroEntradas[[#This Row],[Data do Caixa Previsto]]="",0,MONTH(TbRegistroEntradas[[#This Row],[Data do Caixa Previsto]]))</f>
        <v>2</v>
      </c>
      <c r="N191">
        <f>IF(TbRegistroEntradas[[#This Row],[Data do Caixa Previsto]]="",0,YEAR(TbRegistroEntradas[[#This Row],[Data do Caixa Previsto]]))</f>
        <v>2019</v>
      </c>
      <c r="O191" t="str">
        <f ca="1">IF(AND(TbRegistroEntradas[[#This Row],[Data do Caixa Previsto]]&lt;TODAY(),TbRegistroEntradas[[#This Row],[Data do Caixa Realizado]]=""),"Vencida","Não Vencida")</f>
        <v>Não Vencida</v>
      </c>
      <c r="P191" t="str">
        <f>IF(TbRegistroEntradas[[#This Row],[Data da Competência]]=TbRegistroEntradas[[#This Row],[Data do Caixa Previsto]],"Vista","Prazo")</f>
        <v>Vista</v>
      </c>
      <c r="Q19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2" spans="2:17" x14ac:dyDescent="0.25">
      <c r="B192" s="8">
        <v>43533</v>
      </c>
      <c r="C192" s="8">
        <v>43513</v>
      </c>
      <c r="D192" s="8">
        <v>43513</v>
      </c>
      <c r="E192" t="s">
        <v>23</v>
      </c>
      <c r="F192" t="s">
        <v>34</v>
      </c>
      <c r="G192" t="s">
        <v>246</v>
      </c>
      <c r="H192" s="9">
        <v>3557</v>
      </c>
      <c r="I192">
        <f>IF(TbRegistroEntradas[[#This Row],[Data do Caixa Realizado]]="",0,MONTH(TbRegistroEntradas[[#This Row],[Data do Caixa Realizado]]))</f>
        <v>3</v>
      </c>
      <c r="J192">
        <f>IF(TbRegistroEntradas[[#This Row],[Data do Caixa Realizado]]="",0,YEAR(TbRegistroEntradas[[#This Row],[Data do Caixa Realizado]]))</f>
        <v>2019</v>
      </c>
      <c r="K192">
        <f>IF(TbRegistroEntradas[[#This Row],[Data da Competência]]="",0,MONTH(TbRegistroEntradas[[#This Row],[Data da Competência]]))</f>
        <v>2</v>
      </c>
      <c r="L192">
        <f>IF(TbRegistroEntradas[[#This Row],[Data da Competência]]="",0,YEAR(TbRegistroEntradas[[#This Row],[Data da Competência]]))</f>
        <v>2019</v>
      </c>
      <c r="M192">
        <f>IF(TbRegistroEntradas[[#This Row],[Data do Caixa Previsto]]="",0,MONTH(TbRegistroEntradas[[#This Row],[Data do Caixa Previsto]]))</f>
        <v>2</v>
      </c>
      <c r="N192">
        <f>IF(TbRegistroEntradas[[#This Row],[Data do Caixa Previsto]]="",0,YEAR(TbRegistroEntradas[[#This Row],[Data do Caixa Previsto]]))</f>
        <v>2019</v>
      </c>
      <c r="O192" t="str">
        <f ca="1">IF(AND(TbRegistroEntradas[[#This Row],[Data do Caixa Previsto]]&lt;TODAY(),TbRegistroEntradas[[#This Row],[Data do Caixa Realizado]]=""),"Vencida","Não Vencida")</f>
        <v>Não Vencida</v>
      </c>
      <c r="P192" t="str">
        <f>IF(TbRegistroEntradas[[#This Row],[Data da Competência]]=TbRegistroEntradas[[#This Row],[Data do Caixa Previsto]],"Vista","Prazo")</f>
        <v>Vista</v>
      </c>
      <c r="Q19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20</v>
      </c>
    </row>
    <row r="193" spans="2:17" x14ac:dyDescent="0.25">
      <c r="B193" s="8">
        <v>43540</v>
      </c>
      <c r="C193" s="8">
        <v>43514</v>
      </c>
      <c r="D193" s="8">
        <v>43540</v>
      </c>
      <c r="E193" t="s">
        <v>23</v>
      </c>
      <c r="F193" t="s">
        <v>35</v>
      </c>
      <c r="G193" t="s">
        <v>247</v>
      </c>
      <c r="H193" s="9">
        <v>741</v>
      </c>
      <c r="I193">
        <f>IF(TbRegistroEntradas[[#This Row],[Data do Caixa Realizado]]="",0,MONTH(TbRegistroEntradas[[#This Row],[Data do Caixa Realizado]]))</f>
        <v>3</v>
      </c>
      <c r="J193">
        <f>IF(TbRegistroEntradas[[#This Row],[Data do Caixa Realizado]]="",0,YEAR(TbRegistroEntradas[[#This Row],[Data do Caixa Realizado]]))</f>
        <v>2019</v>
      </c>
      <c r="K193">
        <f>IF(TbRegistroEntradas[[#This Row],[Data da Competência]]="",0,MONTH(TbRegistroEntradas[[#This Row],[Data da Competência]]))</f>
        <v>2</v>
      </c>
      <c r="L193">
        <f>IF(TbRegistroEntradas[[#This Row],[Data da Competência]]="",0,YEAR(TbRegistroEntradas[[#This Row],[Data da Competência]]))</f>
        <v>2019</v>
      </c>
      <c r="M193">
        <f>IF(TbRegistroEntradas[[#This Row],[Data do Caixa Previsto]]="",0,MONTH(TbRegistroEntradas[[#This Row],[Data do Caixa Previsto]]))</f>
        <v>3</v>
      </c>
      <c r="N193">
        <f>IF(TbRegistroEntradas[[#This Row],[Data do Caixa Previsto]]="",0,YEAR(TbRegistroEntradas[[#This Row],[Data do Caixa Previsto]]))</f>
        <v>2019</v>
      </c>
      <c r="O193" t="str">
        <f ca="1">IF(AND(TbRegistroEntradas[[#This Row],[Data do Caixa Previsto]]&lt;TODAY(),TbRegistroEntradas[[#This Row],[Data do Caixa Realizado]]=""),"Vencida","Não Vencida")</f>
        <v>Não Vencida</v>
      </c>
      <c r="P193" t="str">
        <f>IF(TbRegistroEntradas[[#This Row],[Data da Competência]]=TbRegistroEntradas[[#This Row],[Data do Caixa Previsto]],"Vista","Prazo")</f>
        <v>Prazo</v>
      </c>
      <c r="Q19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4" spans="2:17" x14ac:dyDescent="0.25">
      <c r="B194" s="8">
        <v>43548</v>
      </c>
      <c r="C194" s="8">
        <v>43517</v>
      </c>
      <c r="D194" s="8">
        <v>43548</v>
      </c>
      <c r="E194" t="s">
        <v>23</v>
      </c>
      <c r="F194" t="s">
        <v>35</v>
      </c>
      <c r="G194" t="s">
        <v>248</v>
      </c>
      <c r="H194" s="9">
        <v>850</v>
      </c>
      <c r="I194">
        <f>IF(TbRegistroEntradas[[#This Row],[Data do Caixa Realizado]]="",0,MONTH(TbRegistroEntradas[[#This Row],[Data do Caixa Realizado]]))</f>
        <v>3</v>
      </c>
      <c r="J194">
        <f>IF(TbRegistroEntradas[[#This Row],[Data do Caixa Realizado]]="",0,YEAR(TbRegistroEntradas[[#This Row],[Data do Caixa Realizado]]))</f>
        <v>2019</v>
      </c>
      <c r="K194">
        <f>IF(TbRegistroEntradas[[#This Row],[Data da Competência]]="",0,MONTH(TbRegistroEntradas[[#This Row],[Data da Competência]]))</f>
        <v>2</v>
      </c>
      <c r="L194">
        <f>IF(TbRegistroEntradas[[#This Row],[Data da Competência]]="",0,YEAR(TbRegistroEntradas[[#This Row],[Data da Competência]]))</f>
        <v>2019</v>
      </c>
      <c r="M194">
        <f>IF(TbRegistroEntradas[[#This Row],[Data do Caixa Previsto]]="",0,MONTH(TbRegistroEntradas[[#This Row],[Data do Caixa Previsto]]))</f>
        <v>3</v>
      </c>
      <c r="N194">
        <f>IF(TbRegistroEntradas[[#This Row],[Data do Caixa Previsto]]="",0,YEAR(TbRegistroEntradas[[#This Row],[Data do Caixa Previsto]]))</f>
        <v>2019</v>
      </c>
      <c r="O194" t="str">
        <f ca="1">IF(AND(TbRegistroEntradas[[#This Row],[Data do Caixa Previsto]]&lt;TODAY(),TbRegistroEntradas[[#This Row],[Data do Caixa Realizado]]=""),"Vencida","Não Vencida")</f>
        <v>Não Vencida</v>
      </c>
      <c r="P194" t="str">
        <f>IF(TbRegistroEntradas[[#This Row],[Data da Competência]]=TbRegistroEntradas[[#This Row],[Data do Caixa Previsto]],"Vista","Prazo")</f>
        <v>Prazo</v>
      </c>
      <c r="Q19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5" spans="2:17" x14ac:dyDescent="0.25">
      <c r="B195" s="8">
        <v>43522</v>
      </c>
      <c r="C195" s="8">
        <v>43522</v>
      </c>
      <c r="D195" s="8">
        <v>43522</v>
      </c>
      <c r="E195" t="s">
        <v>23</v>
      </c>
      <c r="F195" t="s">
        <v>34</v>
      </c>
      <c r="G195" t="s">
        <v>249</v>
      </c>
      <c r="H195" s="9">
        <v>4741</v>
      </c>
      <c r="I195">
        <f>IF(TbRegistroEntradas[[#This Row],[Data do Caixa Realizado]]="",0,MONTH(TbRegistroEntradas[[#This Row],[Data do Caixa Realizado]]))</f>
        <v>2</v>
      </c>
      <c r="J195">
        <f>IF(TbRegistroEntradas[[#This Row],[Data do Caixa Realizado]]="",0,YEAR(TbRegistroEntradas[[#This Row],[Data do Caixa Realizado]]))</f>
        <v>2019</v>
      </c>
      <c r="K195">
        <f>IF(TbRegistroEntradas[[#This Row],[Data da Competência]]="",0,MONTH(TbRegistroEntradas[[#This Row],[Data da Competência]]))</f>
        <v>2</v>
      </c>
      <c r="L195">
        <f>IF(TbRegistroEntradas[[#This Row],[Data da Competência]]="",0,YEAR(TbRegistroEntradas[[#This Row],[Data da Competência]]))</f>
        <v>2019</v>
      </c>
      <c r="M195">
        <f>IF(TbRegistroEntradas[[#This Row],[Data do Caixa Previsto]]="",0,MONTH(TbRegistroEntradas[[#This Row],[Data do Caixa Previsto]]))</f>
        <v>2</v>
      </c>
      <c r="N195">
        <f>IF(TbRegistroEntradas[[#This Row],[Data do Caixa Previsto]]="",0,YEAR(TbRegistroEntradas[[#This Row],[Data do Caixa Previsto]]))</f>
        <v>2019</v>
      </c>
      <c r="O195" t="str">
        <f ca="1">IF(AND(TbRegistroEntradas[[#This Row],[Data do Caixa Previsto]]&lt;TODAY(),TbRegistroEntradas[[#This Row],[Data do Caixa Realizado]]=""),"Vencida","Não Vencida")</f>
        <v>Não Vencida</v>
      </c>
      <c r="P195" t="str">
        <f>IF(TbRegistroEntradas[[#This Row],[Data da Competência]]=TbRegistroEntradas[[#This Row],[Data do Caixa Previsto]],"Vista","Prazo")</f>
        <v>Vista</v>
      </c>
      <c r="Q19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6" spans="2:17" x14ac:dyDescent="0.25">
      <c r="B196" s="8">
        <v>43525</v>
      </c>
      <c r="C196" s="8">
        <v>43525</v>
      </c>
      <c r="D196" s="8">
        <v>43525</v>
      </c>
      <c r="E196" t="s">
        <v>23</v>
      </c>
      <c r="F196" t="s">
        <v>32</v>
      </c>
      <c r="G196" t="s">
        <v>250</v>
      </c>
      <c r="H196" s="9">
        <v>471</v>
      </c>
      <c r="I196">
        <f>IF(TbRegistroEntradas[[#This Row],[Data do Caixa Realizado]]="",0,MONTH(TbRegistroEntradas[[#This Row],[Data do Caixa Realizado]]))</f>
        <v>3</v>
      </c>
      <c r="J196">
        <f>IF(TbRegistroEntradas[[#This Row],[Data do Caixa Realizado]]="",0,YEAR(TbRegistroEntradas[[#This Row],[Data do Caixa Realizado]]))</f>
        <v>2019</v>
      </c>
      <c r="K196">
        <f>IF(TbRegistroEntradas[[#This Row],[Data da Competência]]="",0,MONTH(TbRegistroEntradas[[#This Row],[Data da Competência]]))</f>
        <v>3</v>
      </c>
      <c r="L196">
        <f>IF(TbRegistroEntradas[[#This Row],[Data da Competência]]="",0,YEAR(TbRegistroEntradas[[#This Row],[Data da Competência]]))</f>
        <v>2019</v>
      </c>
      <c r="M196">
        <f>IF(TbRegistroEntradas[[#This Row],[Data do Caixa Previsto]]="",0,MONTH(TbRegistroEntradas[[#This Row],[Data do Caixa Previsto]]))</f>
        <v>3</v>
      </c>
      <c r="N196">
        <f>IF(TbRegistroEntradas[[#This Row],[Data do Caixa Previsto]]="",0,YEAR(TbRegistroEntradas[[#This Row],[Data do Caixa Previsto]]))</f>
        <v>2019</v>
      </c>
      <c r="O196" t="str">
        <f ca="1">IF(AND(TbRegistroEntradas[[#This Row],[Data do Caixa Previsto]]&lt;TODAY(),TbRegistroEntradas[[#This Row],[Data do Caixa Realizado]]=""),"Vencida","Não Vencida")</f>
        <v>Não Vencida</v>
      </c>
      <c r="P196" t="str">
        <f>IF(TbRegistroEntradas[[#This Row],[Data da Competência]]=TbRegistroEntradas[[#This Row],[Data do Caixa Previsto]],"Vista","Prazo")</f>
        <v>Vista</v>
      </c>
      <c r="Q19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7" spans="2:17" x14ac:dyDescent="0.25">
      <c r="B197" s="8">
        <v>43527</v>
      </c>
      <c r="C197" s="8">
        <v>43527</v>
      </c>
      <c r="D197" s="8">
        <v>43527</v>
      </c>
      <c r="E197" t="s">
        <v>23</v>
      </c>
      <c r="F197" t="s">
        <v>32</v>
      </c>
      <c r="G197" t="s">
        <v>251</v>
      </c>
      <c r="H197" s="9">
        <v>517</v>
      </c>
      <c r="I197">
        <f>IF(TbRegistroEntradas[[#This Row],[Data do Caixa Realizado]]="",0,MONTH(TbRegistroEntradas[[#This Row],[Data do Caixa Realizado]]))</f>
        <v>3</v>
      </c>
      <c r="J197">
        <f>IF(TbRegistroEntradas[[#This Row],[Data do Caixa Realizado]]="",0,YEAR(TbRegistroEntradas[[#This Row],[Data do Caixa Realizado]]))</f>
        <v>2019</v>
      </c>
      <c r="K197">
        <f>IF(TbRegistroEntradas[[#This Row],[Data da Competência]]="",0,MONTH(TbRegistroEntradas[[#This Row],[Data da Competência]]))</f>
        <v>3</v>
      </c>
      <c r="L197">
        <f>IF(TbRegistroEntradas[[#This Row],[Data da Competência]]="",0,YEAR(TbRegistroEntradas[[#This Row],[Data da Competência]]))</f>
        <v>2019</v>
      </c>
      <c r="M197">
        <f>IF(TbRegistroEntradas[[#This Row],[Data do Caixa Previsto]]="",0,MONTH(TbRegistroEntradas[[#This Row],[Data do Caixa Previsto]]))</f>
        <v>3</v>
      </c>
      <c r="N197">
        <f>IF(TbRegistroEntradas[[#This Row],[Data do Caixa Previsto]]="",0,YEAR(TbRegistroEntradas[[#This Row],[Data do Caixa Previsto]]))</f>
        <v>2019</v>
      </c>
      <c r="O197" t="str">
        <f ca="1">IF(AND(TbRegistroEntradas[[#This Row],[Data do Caixa Previsto]]&lt;TODAY(),TbRegistroEntradas[[#This Row],[Data do Caixa Realizado]]=""),"Vencida","Não Vencida")</f>
        <v>Não Vencida</v>
      </c>
      <c r="P197" t="str">
        <f>IF(TbRegistroEntradas[[#This Row],[Data da Competência]]=TbRegistroEntradas[[#This Row],[Data do Caixa Previsto]],"Vista","Prazo")</f>
        <v>Vista</v>
      </c>
      <c r="Q19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8" spans="2:17" x14ac:dyDescent="0.25">
      <c r="B198" s="8">
        <v>43563</v>
      </c>
      <c r="C198" s="8">
        <v>43534</v>
      </c>
      <c r="D198" s="8">
        <v>43563</v>
      </c>
      <c r="E198" t="s">
        <v>23</v>
      </c>
      <c r="F198" t="s">
        <v>32</v>
      </c>
      <c r="G198" t="s">
        <v>252</v>
      </c>
      <c r="H198" s="9">
        <v>3034</v>
      </c>
      <c r="I198">
        <f>IF(TbRegistroEntradas[[#This Row],[Data do Caixa Realizado]]="",0,MONTH(TbRegistroEntradas[[#This Row],[Data do Caixa Realizado]]))</f>
        <v>4</v>
      </c>
      <c r="J198">
        <f>IF(TbRegistroEntradas[[#This Row],[Data do Caixa Realizado]]="",0,YEAR(TbRegistroEntradas[[#This Row],[Data do Caixa Realizado]]))</f>
        <v>2019</v>
      </c>
      <c r="K198">
        <f>IF(TbRegistroEntradas[[#This Row],[Data da Competência]]="",0,MONTH(TbRegistroEntradas[[#This Row],[Data da Competência]]))</f>
        <v>3</v>
      </c>
      <c r="L198">
        <f>IF(TbRegistroEntradas[[#This Row],[Data da Competência]]="",0,YEAR(TbRegistroEntradas[[#This Row],[Data da Competência]]))</f>
        <v>2019</v>
      </c>
      <c r="M198">
        <f>IF(TbRegistroEntradas[[#This Row],[Data do Caixa Previsto]]="",0,MONTH(TbRegistroEntradas[[#This Row],[Data do Caixa Previsto]]))</f>
        <v>4</v>
      </c>
      <c r="N198">
        <f>IF(TbRegistroEntradas[[#This Row],[Data do Caixa Previsto]]="",0,YEAR(TbRegistroEntradas[[#This Row],[Data do Caixa Previsto]]))</f>
        <v>2019</v>
      </c>
      <c r="O198" t="str">
        <f ca="1">IF(AND(TbRegistroEntradas[[#This Row],[Data do Caixa Previsto]]&lt;TODAY(),TbRegistroEntradas[[#This Row],[Data do Caixa Realizado]]=""),"Vencida","Não Vencida")</f>
        <v>Não Vencida</v>
      </c>
      <c r="P198" t="str">
        <f>IF(TbRegistroEntradas[[#This Row],[Data da Competência]]=TbRegistroEntradas[[#This Row],[Data do Caixa Previsto]],"Vista","Prazo")</f>
        <v>Prazo</v>
      </c>
      <c r="Q19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199" spans="2:17" x14ac:dyDescent="0.25">
      <c r="B199" s="8">
        <v>43578</v>
      </c>
      <c r="C199" s="8">
        <v>43537</v>
      </c>
      <c r="D199" s="8">
        <v>43578</v>
      </c>
      <c r="E199" t="s">
        <v>23</v>
      </c>
      <c r="F199" t="s">
        <v>34</v>
      </c>
      <c r="G199" t="s">
        <v>253</v>
      </c>
      <c r="H199" s="9">
        <v>3172</v>
      </c>
      <c r="I199">
        <f>IF(TbRegistroEntradas[[#This Row],[Data do Caixa Realizado]]="",0,MONTH(TbRegistroEntradas[[#This Row],[Data do Caixa Realizado]]))</f>
        <v>4</v>
      </c>
      <c r="J199">
        <f>IF(TbRegistroEntradas[[#This Row],[Data do Caixa Realizado]]="",0,YEAR(TbRegistroEntradas[[#This Row],[Data do Caixa Realizado]]))</f>
        <v>2019</v>
      </c>
      <c r="K199">
        <f>IF(TbRegistroEntradas[[#This Row],[Data da Competência]]="",0,MONTH(TbRegistroEntradas[[#This Row],[Data da Competência]]))</f>
        <v>3</v>
      </c>
      <c r="L199">
        <f>IF(TbRegistroEntradas[[#This Row],[Data da Competência]]="",0,YEAR(TbRegistroEntradas[[#This Row],[Data da Competência]]))</f>
        <v>2019</v>
      </c>
      <c r="M199">
        <f>IF(TbRegistroEntradas[[#This Row],[Data do Caixa Previsto]]="",0,MONTH(TbRegistroEntradas[[#This Row],[Data do Caixa Previsto]]))</f>
        <v>4</v>
      </c>
      <c r="N199">
        <f>IF(TbRegistroEntradas[[#This Row],[Data do Caixa Previsto]]="",0,YEAR(TbRegistroEntradas[[#This Row],[Data do Caixa Previsto]]))</f>
        <v>2019</v>
      </c>
      <c r="O199" t="str">
        <f ca="1">IF(AND(TbRegistroEntradas[[#This Row],[Data do Caixa Previsto]]&lt;TODAY(),TbRegistroEntradas[[#This Row],[Data do Caixa Realizado]]=""),"Vencida","Não Vencida")</f>
        <v>Não Vencida</v>
      </c>
      <c r="P199" t="str">
        <f>IF(TbRegistroEntradas[[#This Row],[Data da Competência]]=TbRegistroEntradas[[#This Row],[Data do Caixa Previsto]],"Vista","Prazo")</f>
        <v>Prazo</v>
      </c>
      <c r="Q19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0" spans="2:17" x14ac:dyDescent="0.25">
      <c r="B200" s="8">
        <v>43543</v>
      </c>
      <c r="C200" s="8">
        <v>43543</v>
      </c>
      <c r="D200" s="8">
        <v>43543</v>
      </c>
      <c r="E200" t="s">
        <v>23</v>
      </c>
      <c r="F200" t="s">
        <v>33</v>
      </c>
      <c r="G200" t="s">
        <v>254</v>
      </c>
      <c r="H200" s="9">
        <v>2069</v>
      </c>
      <c r="I200">
        <f>IF(TbRegistroEntradas[[#This Row],[Data do Caixa Realizado]]="",0,MONTH(TbRegistroEntradas[[#This Row],[Data do Caixa Realizado]]))</f>
        <v>3</v>
      </c>
      <c r="J200">
        <f>IF(TbRegistroEntradas[[#This Row],[Data do Caixa Realizado]]="",0,YEAR(TbRegistroEntradas[[#This Row],[Data do Caixa Realizado]]))</f>
        <v>2019</v>
      </c>
      <c r="K200">
        <f>IF(TbRegistroEntradas[[#This Row],[Data da Competência]]="",0,MONTH(TbRegistroEntradas[[#This Row],[Data da Competência]]))</f>
        <v>3</v>
      </c>
      <c r="L200">
        <f>IF(TbRegistroEntradas[[#This Row],[Data da Competência]]="",0,YEAR(TbRegistroEntradas[[#This Row],[Data da Competência]]))</f>
        <v>2019</v>
      </c>
      <c r="M200">
        <f>IF(TbRegistroEntradas[[#This Row],[Data do Caixa Previsto]]="",0,MONTH(TbRegistroEntradas[[#This Row],[Data do Caixa Previsto]]))</f>
        <v>3</v>
      </c>
      <c r="N200">
        <f>IF(TbRegistroEntradas[[#This Row],[Data do Caixa Previsto]]="",0,YEAR(TbRegistroEntradas[[#This Row],[Data do Caixa Previsto]]))</f>
        <v>2019</v>
      </c>
      <c r="O200" t="str">
        <f ca="1">IF(AND(TbRegistroEntradas[[#This Row],[Data do Caixa Previsto]]&lt;TODAY(),TbRegistroEntradas[[#This Row],[Data do Caixa Realizado]]=""),"Vencida","Não Vencida")</f>
        <v>Não Vencida</v>
      </c>
      <c r="P200" t="str">
        <f>IF(TbRegistroEntradas[[#This Row],[Data da Competência]]=TbRegistroEntradas[[#This Row],[Data do Caixa Previsto]],"Vista","Prazo")</f>
        <v>Vista</v>
      </c>
      <c r="Q20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1" spans="2:17" x14ac:dyDescent="0.25">
      <c r="B201" s="8">
        <v>43545</v>
      </c>
      <c r="C201" s="8">
        <v>43545</v>
      </c>
      <c r="D201" s="8">
        <v>43545</v>
      </c>
      <c r="E201" t="s">
        <v>23</v>
      </c>
      <c r="F201" t="s">
        <v>33</v>
      </c>
      <c r="G201" t="s">
        <v>255</v>
      </c>
      <c r="H201" s="9">
        <v>3849</v>
      </c>
      <c r="I201">
        <f>IF(TbRegistroEntradas[[#This Row],[Data do Caixa Realizado]]="",0,MONTH(TbRegistroEntradas[[#This Row],[Data do Caixa Realizado]]))</f>
        <v>3</v>
      </c>
      <c r="J201">
        <f>IF(TbRegistroEntradas[[#This Row],[Data do Caixa Realizado]]="",0,YEAR(TbRegistroEntradas[[#This Row],[Data do Caixa Realizado]]))</f>
        <v>2019</v>
      </c>
      <c r="K201">
        <f>IF(TbRegistroEntradas[[#This Row],[Data da Competência]]="",0,MONTH(TbRegistroEntradas[[#This Row],[Data da Competência]]))</f>
        <v>3</v>
      </c>
      <c r="L201">
        <f>IF(TbRegistroEntradas[[#This Row],[Data da Competência]]="",0,YEAR(TbRegistroEntradas[[#This Row],[Data da Competência]]))</f>
        <v>2019</v>
      </c>
      <c r="M201">
        <f>IF(TbRegistroEntradas[[#This Row],[Data do Caixa Previsto]]="",0,MONTH(TbRegistroEntradas[[#This Row],[Data do Caixa Previsto]]))</f>
        <v>3</v>
      </c>
      <c r="N201">
        <f>IF(TbRegistroEntradas[[#This Row],[Data do Caixa Previsto]]="",0,YEAR(TbRegistroEntradas[[#This Row],[Data do Caixa Previsto]]))</f>
        <v>2019</v>
      </c>
      <c r="O201" t="str">
        <f ca="1">IF(AND(TbRegistroEntradas[[#This Row],[Data do Caixa Previsto]]&lt;TODAY(),TbRegistroEntradas[[#This Row],[Data do Caixa Realizado]]=""),"Vencida","Não Vencida")</f>
        <v>Não Vencida</v>
      </c>
      <c r="P201" t="str">
        <f>IF(TbRegistroEntradas[[#This Row],[Data da Competência]]=TbRegistroEntradas[[#This Row],[Data do Caixa Previsto]],"Vista","Prazo")</f>
        <v>Vista</v>
      </c>
      <c r="Q20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2" spans="2:17" x14ac:dyDescent="0.25">
      <c r="B202" s="8" t="s">
        <v>68</v>
      </c>
      <c r="C202" s="8">
        <v>43551</v>
      </c>
      <c r="D202" s="8">
        <v>43586</v>
      </c>
      <c r="E202" t="s">
        <v>23</v>
      </c>
      <c r="F202" t="s">
        <v>35</v>
      </c>
      <c r="G202" t="s">
        <v>256</v>
      </c>
      <c r="H202" s="9">
        <v>4141</v>
      </c>
      <c r="I202">
        <f>IF(TbRegistroEntradas[[#This Row],[Data do Caixa Realizado]]="",0,MONTH(TbRegistroEntradas[[#This Row],[Data do Caixa Realizado]]))</f>
        <v>0</v>
      </c>
      <c r="J202">
        <f>IF(TbRegistroEntradas[[#This Row],[Data do Caixa Realizado]]="",0,YEAR(TbRegistroEntradas[[#This Row],[Data do Caixa Realizado]]))</f>
        <v>0</v>
      </c>
      <c r="K202">
        <f>IF(TbRegistroEntradas[[#This Row],[Data da Competência]]="",0,MONTH(TbRegistroEntradas[[#This Row],[Data da Competência]]))</f>
        <v>3</v>
      </c>
      <c r="L202">
        <f>IF(TbRegistroEntradas[[#This Row],[Data da Competência]]="",0,YEAR(TbRegistroEntradas[[#This Row],[Data da Competência]]))</f>
        <v>2019</v>
      </c>
      <c r="M202">
        <f>IF(TbRegistroEntradas[[#This Row],[Data do Caixa Previsto]]="",0,MONTH(TbRegistroEntradas[[#This Row],[Data do Caixa Previsto]]))</f>
        <v>5</v>
      </c>
      <c r="N202">
        <f>IF(TbRegistroEntradas[[#This Row],[Data do Caixa Previsto]]="",0,YEAR(TbRegistroEntradas[[#This Row],[Data do Caixa Previsto]]))</f>
        <v>2019</v>
      </c>
      <c r="O202" t="str">
        <f ca="1">IF(AND(TbRegistroEntradas[[#This Row],[Data do Caixa Previsto]]&lt;TODAY(),TbRegistroEntradas[[#This Row],[Data do Caixa Realizado]]=""),"Vencida","Não Vencida")</f>
        <v>Vencida</v>
      </c>
      <c r="P202" t="str">
        <f>IF(TbRegistroEntradas[[#This Row],[Data da Competência]]=TbRegistroEntradas[[#This Row],[Data do Caixa Previsto]],"Vista","Prazo")</f>
        <v>Prazo</v>
      </c>
      <c r="Q20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1329</v>
      </c>
    </row>
    <row r="203" spans="2:17" x14ac:dyDescent="0.25">
      <c r="B203" s="8">
        <v>43643</v>
      </c>
      <c r="C203" s="8">
        <v>43552</v>
      </c>
      <c r="D203" s="8">
        <v>43586</v>
      </c>
      <c r="E203" t="s">
        <v>23</v>
      </c>
      <c r="F203" t="s">
        <v>35</v>
      </c>
      <c r="G203" t="s">
        <v>257</v>
      </c>
      <c r="H203" s="9">
        <v>1348</v>
      </c>
      <c r="I203">
        <f>IF(TbRegistroEntradas[[#This Row],[Data do Caixa Realizado]]="",0,MONTH(TbRegistroEntradas[[#This Row],[Data do Caixa Realizado]]))</f>
        <v>6</v>
      </c>
      <c r="J203">
        <f>IF(TbRegistroEntradas[[#This Row],[Data do Caixa Realizado]]="",0,YEAR(TbRegistroEntradas[[#This Row],[Data do Caixa Realizado]]))</f>
        <v>2019</v>
      </c>
      <c r="K203">
        <f>IF(TbRegistroEntradas[[#This Row],[Data da Competência]]="",0,MONTH(TbRegistroEntradas[[#This Row],[Data da Competência]]))</f>
        <v>3</v>
      </c>
      <c r="L203">
        <f>IF(TbRegistroEntradas[[#This Row],[Data da Competência]]="",0,YEAR(TbRegistroEntradas[[#This Row],[Data da Competência]]))</f>
        <v>2019</v>
      </c>
      <c r="M203">
        <f>IF(TbRegistroEntradas[[#This Row],[Data do Caixa Previsto]]="",0,MONTH(TbRegistroEntradas[[#This Row],[Data do Caixa Previsto]]))</f>
        <v>5</v>
      </c>
      <c r="N203">
        <f>IF(TbRegistroEntradas[[#This Row],[Data do Caixa Previsto]]="",0,YEAR(TbRegistroEntradas[[#This Row],[Data do Caixa Previsto]]))</f>
        <v>2019</v>
      </c>
      <c r="O203" t="str">
        <f ca="1">IF(AND(TbRegistroEntradas[[#This Row],[Data do Caixa Previsto]]&lt;TODAY(),TbRegistroEntradas[[#This Row],[Data do Caixa Realizado]]=""),"Vencida","Não Vencida")</f>
        <v>Não Vencida</v>
      </c>
      <c r="P203" t="str">
        <f>IF(TbRegistroEntradas[[#This Row],[Data da Competência]]=TbRegistroEntradas[[#This Row],[Data do Caixa Previsto]],"Vista","Prazo")</f>
        <v>Prazo</v>
      </c>
      <c r="Q20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57</v>
      </c>
    </row>
    <row r="204" spans="2:17" x14ac:dyDescent="0.25">
      <c r="B204" s="8">
        <v>43558</v>
      </c>
      <c r="C204" s="8">
        <v>43558</v>
      </c>
      <c r="D204" s="8">
        <v>43558</v>
      </c>
      <c r="E204" t="s">
        <v>23</v>
      </c>
      <c r="F204" t="s">
        <v>34</v>
      </c>
      <c r="G204" t="s">
        <v>258</v>
      </c>
      <c r="H204" s="9">
        <v>1738</v>
      </c>
      <c r="I204">
        <f>IF(TbRegistroEntradas[[#This Row],[Data do Caixa Realizado]]="",0,MONTH(TbRegistroEntradas[[#This Row],[Data do Caixa Realizado]]))</f>
        <v>4</v>
      </c>
      <c r="J204">
        <f>IF(TbRegistroEntradas[[#This Row],[Data do Caixa Realizado]]="",0,YEAR(TbRegistroEntradas[[#This Row],[Data do Caixa Realizado]]))</f>
        <v>2019</v>
      </c>
      <c r="K204">
        <f>IF(TbRegistroEntradas[[#This Row],[Data da Competência]]="",0,MONTH(TbRegistroEntradas[[#This Row],[Data da Competência]]))</f>
        <v>4</v>
      </c>
      <c r="L204">
        <f>IF(TbRegistroEntradas[[#This Row],[Data da Competência]]="",0,YEAR(TbRegistroEntradas[[#This Row],[Data da Competência]]))</f>
        <v>2019</v>
      </c>
      <c r="M204">
        <f>IF(TbRegistroEntradas[[#This Row],[Data do Caixa Previsto]]="",0,MONTH(TbRegistroEntradas[[#This Row],[Data do Caixa Previsto]]))</f>
        <v>4</v>
      </c>
      <c r="N204">
        <f>IF(TbRegistroEntradas[[#This Row],[Data do Caixa Previsto]]="",0,YEAR(TbRegistroEntradas[[#This Row],[Data do Caixa Previsto]]))</f>
        <v>2019</v>
      </c>
      <c r="O204" t="str">
        <f ca="1">IF(AND(TbRegistroEntradas[[#This Row],[Data do Caixa Previsto]]&lt;TODAY(),TbRegistroEntradas[[#This Row],[Data do Caixa Realizado]]=""),"Vencida","Não Vencida")</f>
        <v>Não Vencida</v>
      </c>
      <c r="P204" t="str">
        <f>IF(TbRegistroEntradas[[#This Row],[Data da Competência]]=TbRegistroEntradas[[#This Row],[Data do Caixa Previsto]],"Vista","Prazo")</f>
        <v>Vista</v>
      </c>
      <c r="Q20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5" spans="2:17" x14ac:dyDescent="0.25">
      <c r="B205" s="8">
        <v>43561</v>
      </c>
      <c r="C205" s="8">
        <v>43561</v>
      </c>
      <c r="D205" s="8">
        <v>43561</v>
      </c>
      <c r="E205" t="s">
        <v>23</v>
      </c>
      <c r="F205" t="s">
        <v>34</v>
      </c>
      <c r="G205" t="s">
        <v>259</v>
      </c>
      <c r="H205" s="9">
        <v>732</v>
      </c>
      <c r="I205">
        <f>IF(TbRegistroEntradas[[#This Row],[Data do Caixa Realizado]]="",0,MONTH(TbRegistroEntradas[[#This Row],[Data do Caixa Realizado]]))</f>
        <v>4</v>
      </c>
      <c r="J205">
        <f>IF(TbRegistroEntradas[[#This Row],[Data do Caixa Realizado]]="",0,YEAR(TbRegistroEntradas[[#This Row],[Data do Caixa Realizado]]))</f>
        <v>2019</v>
      </c>
      <c r="K205">
        <f>IF(TbRegistroEntradas[[#This Row],[Data da Competência]]="",0,MONTH(TbRegistroEntradas[[#This Row],[Data da Competência]]))</f>
        <v>4</v>
      </c>
      <c r="L205">
        <f>IF(TbRegistroEntradas[[#This Row],[Data da Competência]]="",0,YEAR(TbRegistroEntradas[[#This Row],[Data da Competência]]))</f>
        <v>2019</v>
      </c>
      <c r="M205">
        <f>IF(TbRegistroEntradas[[#This Row],[Data do Caixa Previsto]]="",0,MONTH(TbRegistroEntradas[[#This Row],[Data do Caixa Previsto]]))</f>
        <v>4</v>
      </c>
      <c r="N205">
        <f>IF(TbRegistroEntradas[[#This Row],[Data do Caixa Previsto]]="",0,YEAR(TbRegistroEntradas[[#This Row],[Data do Caixa Previsto]]))</f>
        <v>2019</v>
      </c>
      <c r="O205" t="str">
        <f ca="1">IF(AND(TbRegistroEntradas[[#This Row],[Data do Caixa Previsto]]&lt;TODAY(),TbRegistroEntradas[[#This Row],[Data do Caixa Realizado]]=""),"Vencida","Não Vencida")</f>
        <v>Não Vencida</v>
      </c>
      <c r="P205" t="str">
        <f>IF(TbRegistroEntradas[[#This Row],[Data da Competência]]=TbRegistroEntradas[[#This Row],[Data do Caixa Previsto]],"Vista","Prazo")</f>
        <v>Vista</v>
      </c>
      <c r="Q20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6" spans="2:17" x14ac:dyDescent="0.25">
      <c r="B206" s="8">
        <v>43625</v>
      </c>
      <c r="C206" s="8">
        <v>43562</v>
      </c>
      <c r="D206" s="8">
        <v>43586</v>
      </c>
      <c r="E206" t="s">
        <v>23</v>
      </c>
      <c r="F206" t="s">
        <v>35</v>
      </c>
      <c r="G206" t="s">
        <v>260</v>
      </c>
      <c r="H206" s="9">
        <v>373</v>
      </c>
      <c r="I206">
        <f>IF(TbRegistroEntradas[[#This Row],[Data do Caixa Realizado]]="",0,MONTH(TbRegistroEntradas[[#This Row],[Data do Caixa Realizado]]))</f>
        <v>6</v>
      </c>
      <c r="J206">
        <f>IF(TbRegistroEntradas[[#This Row],[Data do Caixa Realizado]]="",0,YEAR(TbRegistroEntradas[[#This Row],[Data do Caixa Realizado]]))</f>
        <v>2019</v>
      </c>
      <c r="K206">
        <f>IF(TbRegistroEntradas[[#This Row],[Data da Competência]]="",0,MONTH(TbRegistroEntradas[[#This Row],[Data da Competência]]))</f>
        <v>4</v>
      </c>
      <c r="L206">
        <f>IF(TbRegistroEntradas[[#This Row],[Data da Competência]]="",0,YEAR(TbRegistroEntradas[[#This Row],[Data da Competência]]))</f>
        <v>2019</v>
      </c>
      <c r="M206">
        <f>IF(TbRegistroEntradas[[#This Row],[Data do Caixa Previsto]]="",0,MONTH(TbRegistroEntradas[[#This Row],[Data do Caixa Previsto]]))</f>
        <v>5</v>
      </c>
      <c r="N206">
        <f>IF(TbRegistroEntradas[[#This Row],[Data do Caixa Previsto]]="",0,YEAR(TbRegistroEntradas[[#This Row],[Data do Caixa Previsto]]))</f>
        <v>2019</v>
      </c>
      <c r="O206" t="str">
        <f ca="1">IF(AND(TbRegistroEntradas[[#This Row],[Data do Caixa Previsto]]&lt;TODAY(),TbRegistroEntradas[[#This Row],[Data do Caixa Realizado]]=""),"Vencida","Não Vencida")</f>
        <v>Não Vencida</v>
      </c>
      <c r="P206" t="str">
        <f>IF(TbRegistroEntradas[[#This Row],[Data da Competência]]=TbRegistroEntradas[[#This Row],[Data do Caixa Previsto]],"Vista","Prazo")</f>
        <v>Prazo</v>
      </c>
      <c r="Q20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39</v>
      </c>
    </row>
    <row r="207" spans="2:17" x14ac:dyDescent="0.25">
      <c r="B207" s="8">
        <v>43609</v>
      </c>
      <c r="C207" s="8">
        <v>43564</v>
      </c>
      <c r="D207" s="8">
        <v>43609</v>
      </c>
      <c r="E207" t="s">
        <v>23</v>
      </c>
      <c r="F207" t="s">
        <v>32</v>
      </c>
      <c r="G207" t="s">
        <v>261</v>
      </c>
      <c r="H207" s="9">
        <v>609</v>
      </c>
      <c r="I207">
        <f>IF(TbRegistroEntradas[[#This Row],[Data do Caixa Realizado]]="",0,MONTH(TbRegistroEntradas[[#This Row],[Data do Caixa Realizado]]))</f>
        <v>5</v>
      </c>
      <c r="J207">
        <f>IF(TbRegistroEntradas[[#This Row],[Data do Caixa Realizado]]="",0,YEAR(TbRegistroEntradas[[#This Row],[Data do Caixa Realizado]]))</f>
        <v>2019</v>
      </c>
      <c r="K207">
        <f>IF(TbRegistroEntradas[[#This Row],[Data da Competência]]="",0,MONTH(TbRegistroEntradas[[#This Row],[Data da Competência]]))</f>
        <v>4</v>
      </c>
      <c r="L207">
        <f>IF(TbRegistroEntradas[[#This Row],[Data da Competência]]="",0,YEAR(TbRegistroEntradas[[#This Row],[Data da Competência]]))</f>
        <v>2019</v>
      </c>
      <c r="M207">
        <f>IF(TbRegistroEntradas[[#This Row],[Data do Caixa Previsto]]="",0,MONTH(TbRegistroEntradas[[#This Row],[Data do Caixa Previsto]]))</f>
        <v>5</v>
      </c>
      <c r="N207">
        <f>IF(TbRegistroEntradas[[#This Row],[Data do Caixa Previsto]]="",0,YEAR(TbRegistroEntradas[[#This Row],[Data do Caixa Previsto]]))</f>
        <v>2019</v>
      </c>
      <c r="O207" t="str">
        <f ca="1">IF(AND(TbRegistroEntradas[[#This Row],[Data do Caixa Previsto]]&lt;TODAY(),TbRegistroEntradas[[#This Row],[Data do Caixa Realizado]]=""),"Vencida","Não Vencida")</f>
        <v>Não Vencida</v>
      </c>
      <c r="P207" t="str">
        <f>IF(TbRegistroEntradas[[#This Row],[Data da Competência]]=TbRegistroEntradas[[#This Row],[Data do Caixa Previsto]],"Vista","Prazo")</f>
        <v>Prazo</v>
      </c>
      <c r="Q20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8" spans="2:17" x14ac:dyDescent="0.25">
      <c r="B208" s="8">
        <v>43615</v>
      </c>
      <c r="C208" s="8">
        <v>43567</v>
      </c>
      <c r="D208" s="8">
        <v>43615</v>
      </c>
      <c r="E208" t="s">
        <v>23</v>
      </c>
      <c r="F208" t="s">
        <v>34</v>
      </c>
      <c r="G208" t="s">
        <v>262</v>
      </c>
      <c r="H208" s="9">
        <v>2883</v>
      </c>
      <c r="I208">
        <f>IF(TbRegistroEntradas[[#This Row],[Data do Caixa Realizado]]="",0,MONTH(TbRegistroEntradas[[#This Row],[Data do Caixa Realizado]]))</f>
        <v>5</v>
      </c>
      <c r="J208">
        <f>IF(TbRegistroEntradas[[#This Row],[Data do Caixa Realizado]]="",0,YEAR(TbRegistroEntradas[[#This Row],[Data do Caixa Realizado]]))</f>
        <v>2019</v>
      </c>
      <c r="K208">
        <f>IF(TbRegistroEntradas[[#This Row],[Data da Competência]]="",0,MONTH(TbRegistroEntradas[[#This Row],[Data da Competência]]))</f>
        <v>4</v>
      </c>
      <c r="L208">
        <f>IF(TbRegistroEntradas[[#This Row],[Data da Competência]]="",0,YEAR(TbRegistroEntradas[[#This Row],[Data da Competência]]))</f>
        <v>2019</v>
      </c>
      <c r="M208">
        <f>IF(TbRegistroEntradas[[#This Row],[Data do Caixa Previsto]]="",0,MONTH(TbRegistroEntradas[[#This Row],[Data do Caixa Previsto]]))</f>
        <v>5</v>
      </c>
      <c r="N208">
        <f>IF(TbRegistroEntradas[[#This Row],[Data do Caixa Previsto]]="",0,YEAR(TbRegistroEntradas[[#This Row],[Data do Caixa Previsto]]))</f>
        <v>2019</v>
      </c>
      <c r="O208" t="str">
        <f ca="1">IF(AND(TbRegistroEntradas[[#This Row],[Data do Caixa Previsto]]&lt;TODAY(),TbRegistroEntradas[[#This Row],[Data do Caixa Realizado]]=""),"Vencida","Não Vencida")</f>
        <v>Não Vencida</v>
      </c>
      <c r="P208" t="str">
        <f>IF(TbRegistroEntradas[[#This Row],[Data da Competência]]=TbRegistroEntradas[[#This Row],[Data do Caixa Previsto]],"Vista","Prazo")</f>
        <v>Prazo</v>
      </c>
      <c r="Q20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09" spans="2:17" x14ac:dyDescent="0.25">
      <c r="B209" s="8">
        <v>43569</v>
      </c>
      <c r="C209" s="8">
        <v>43569</v>
      </c>
      <c r="D209" s="8">
        <v>43569</v>
      </c>
      <c r="E209" t="s">
        <v>23</v>
      </c>
      <c r="F209" t="s">
        <v>32</v>
      </c>
      <c r="G209" t="s">
        <v>263</v>
      </c>
      <c r="H209" s="9">
        <v>4651</v>
      </c>
      <c r="I209">
        <f>IF(TbRegistroEntradas[[#This Row],[Data do Caixa Realizado]]="",0,MONTH(TbRegistroEntradas[[#This Row],[Data do Caixa Realizado]]))</f>
        <v>4</v>
      </c>
      <c r="J209">
        <f>IF(TbRegistroEntradas[[#This Row],[Data do Caixa Realizado]]="",0,YEAR(TbRegistroEntradas[[#This Row],[Data do Caixa Realizado]]))</f>
        <v>2019</v>
      </c>
      <c r="K209">
        <f>IF(TbRegistroEntradas[[#This Row],[Data da Competência]]="",0,MONTH(TbRegistroEntradas[[#This Row],[Data da Competência]]))</f>
        <v>4</v>
      </c>
      <c r="L209">
        <f>IF(TbRegistroEntradas[[#This Row],[Data da Competência]]="",0,YEAR(TbRegistroEntradas[[#This Row],[Data da Competência]]))</f>
        <v>2019</v>
      </c>
      <c r="M209">
        <f>IF(TbRegistroEntradas[[#This Row],[Data do Caixa Previsto]]="",0,MONTH(TbRegistroEntradas[[#This Row],[Data do Caixa Previsto]]))</f>
        <v>4</v>
      </c>
      <c r="N209">
        <f>IF(TbRegistroEntradas[[#This Row],[Data do Caixa Previsto]]="",0,YEAR(TbRegistroEntradas[[#This Row],[Data do Caixa Previsto]]))</f>
        <v>2019</v>
      </c>
      <c r="O209" t="str">
        <f ca="1">IF(AND(TbRegistroEntradas[[#This Row],[Data do Caixa Previsto]]&lt;TODAY(),TbRegistroEntradas[[#This Row],[Data do Caixa Realizado]]=""),"Vencida","Não Vencida")</f>
        <v>Não Vencida</v>
      </c>
      <c r="P209" t="str">
        <f>IF(TbRegistroEntradas[[#This Row],[Data da Competência]]=TbRegistroEntradas[[#This Row],[Data do Caixa Previsto]],"Vista","Prazo")</f>
        <v>Vista</v>
      </c>
      <c r="Q20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0" spans="2:17" x14ac:dyDescent="0.25">
      <c r="B210" s="8" t="s">
        <v>68</v>
      </c>
      <c r="C210" s="8">
        <v>43573</v>
      </c>
      <c r="D210" s="8">
        <v>43579</v>
      </c>
      <c r="E210" t="s">
        <v>23</v>
      </c>
      <c r="F210" t="s">
        <v>32</v>
      </c>
      <c r="G210" t="s">
        <v>264</v>
      </c>
      <c r="H210" s="9">
        <v>4797</v>
      </c>
      <c r="I210">
        <f>IF(TbRegistroEntradas[[#This Row],[Data do Caixa Realizado]]="",0,MONTH(TbRegistroEntradas[[#This Row],[Data do Caixa Realizado]]))</f>
        <v>0</v>
      </c>
      <c r="J210">
        <f>IF(TbRegistroEntradas[[#This Row],[Data do Caixa Realizado]]="",0,YEAR(TbRegistroEntradas[[#This Row],[Data do Caixa Realizado]]))</f>
        <v>0</v>
      </c>
      <c r="K210">
        <f>IF(TbRegistroEntradas[[#This Row],[Data da Competência]]="",0,MONTH(TbRegistroEntradas[[#This Row],[Data da Competência]]))</f>
        <v>4</v>
      </c>
      <c r="L210">
        <f>IF(TbRegistroEntradas[[#This Row],[Data da Competência]]="",0,YEAR(TbRegistroEntradas[[#This Row],[Data da Competência]]))</f>
        <v>2019</v>
      </c>
      <c r="M210">
        <f>IF(TbRegistroEntradas[[#This Row],[Data do Caixa Previsto]]="",0,MONTH(TbRegistroEntradas[[#This Row],[Data do Caixa Previsto]]))</f>
        <v>4</v>
      </c>
      <c r="N210">
        <f>IF(TbRegistroEntradas[[#This Row],[Data do Caixa Previsto]]="",0,YEAR(TbRegistroEntradas[[#This Row],[Data do Caixa Previsto]]))</f>
        <v>2019</v>
      </c>
      <c r="O210" t="str">
        <f ca="1">IF(AND(TbRegistroEntradas[[#This Row],[Data do Caixa Previsto]]&lt;TODAY(),TbRegistroEntradas[[#This Row],[Data do Caixa Realizado]]=""),"Vencida","Não Vencida")</f>
        <v>Vencida</v>
      </c>
      <c r="P210" t="str">
        <f>IF(TbRegistroEntradas[[#This Row],[Data da Competência]]=TbRegistroEntradas[[#This Row],[Data do Caixa Previsto]],"Vista","Prazo")</f>
        <v>Prazo</v>
      </c>
      <c r="Q21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1336</v>
      </c>
    </row>
    <row r="211" spans="2:17" x14ac:dyDescent="0.25">
      <c r="B211" s="8">
        <v>43598</v>
      </c>
      <c r="C211" s="8">
        <v>43575</v>
      </c>
      <c r="D211" s="8">
        <v>43598</v>
      </c>
      <c r="E211" t="s">
        <v>23</v>
      </c>
      <c r="F211" t="s">
        <v>33</v>
      </c>
      <c r="G211" t="s">
        <v>265</v>
      </c>
      <c r="H211" s="9">
        <v>1620</v>
      </c>
      <c r="I211">
        <f>IF(TbRegistroEntradas[[#This Row],[Data do Caixa Realizado]]="",0,MONTH(TbRegistroEntradas[[#This Row],[Data do Caixa Realizado]]))</f>
        <v>5</v>
      </c>
      <c r="J211">
        <f>IF(TbRegistroEntradas[[#This Row],[Data do Caixa Realizado]]="",0,YEAR(TbRegistroEntradas[[#This Row],[Data do Caixa Realizado]]))</f>
        <v>2019</v>
      </c>
      <c r="K211">
        <f>IF(TbRegistroEntradas[[#This Row],[Data da Competência]]="",0,MONTH(TbRegistroEntradas[[#This Row],[Data da Competência]]))</f>
        <v>4</v>
      </c>
      <c r="L211">
        <f>IF(TbRegistroEntradas[[#This Row],[Data da Competência]]="",0,YEAR(TbRegistroEntradas[[#This Row],[Data da Competência]]))</f>
        <v>2019</v>
      </c>
      <c r="M211">
        <f>IF(TbRegistroEntradas[[#This Row],[Data do Caixa Previsto]]="",0,MONTH(TbRegistroEntradas[[#This Row],[Data do Caixa Previsto]]))</f>
        <v>5</v>
      </c>
      <c r="N211">
        <f>IF(TbRegistroEntradas[[#This Row],[Data do Caixa Previsto]]="",0,YEAR(TbRegistroEntradas[[#This Row],[Data do Caixa Previsto]]))</f>
        <v>2019</v>
      </c>
      <c r="O211" t="str">
        <f ca="1">IF(AND(TbRegistroEntradas[[#This Row],[Data do Caixa Previsto]]&lt;TODAY(),TbRegistroEntradas[[#This Row],[Data do Caixa Realizado]]=""),"Vencida","Não Vencida")</f>
        <v>Não Vencida</v>
      </c>
      <c r="P211" t="str">
        <f>IF(TbRegistroEntradas[[#This Row],[Data da Competência]]=TbRegistroEntradas[[#This Row],[Data do Caixa Previsto]],"Vista","Prazo")</f>
        <v>Prazo</v>
      </c>
      <c r="Q21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2" spans="2:17" x14ac:dyDescent="0.25">
      <c r="B212" s="8">
        <v>43683</v>
      </c>
      <c r="C212" s="8">
        <v>43582</v>
      </c>
      <c r="D212" s="8">
        <v>43625</v>
      </c>
      <c r="E212" t="s">
        <v>23</v>
      </c>
      <c r="F212" t="s">
        <v>35</v>
      </c>
      <c r="G212" t="s">
        <v>266</v>
      </c>
      <c r="H212" s="9">
        <v>245</v>
      </c>
      <c r="I212">
        <f>IF(TbRegistroEntradas[[#This Row],[Data do Caixa Realizado]]="",0,MONTH(TbRegistroEntradas[[#This Row],[Data do Caixa Realizado]]))</f>
        <v>8</v>
      </c>
      <c r="J212">
        <f>IF(TbRegistroEntradas[[#This Row],[Data do Caixa Realizado]]="",0,YEAR(TbRegistroEntradas[[#This Row],[Data do Caixa Realizado]]))</f>
        <v>2019</v>
      </c>
      <c r="K212">
        <f>IF(TbRegistroEntradas[[#This Row],[Data da Competência]]="",0,MONTH(TbRegistroEntradas[[#This Row],[Data da Competência]]))</f>
        <v>4</v>
      </c>
      <c r="L212">
        <f>IF(TbRegistroEntradas[[#This Row],[Data da Competência]]="",0,YEAR(TbRegistroEntradas[[#This Row],[Data da Competência]]))</f>
        <v>2019</v>
      </c>
      <c r="M212">
        <f>IF(TbRegistroEntradas[[#This Row],[Data do Caixa Previsto]]="",0,MONTH(TbRegistroEntradas[[#This Row],[Data do Caixa Previsto]]))</f>
        <v>6</v>
      </c>
      <c r="N212">
        <f>IF(TbRegistroEntradas[[#This Row],[Data do Caixa Previsto]]="",0,YEAR(TbRegistroEntradas[[#This Row],[Data do Caixa Previsto]]))</f>
        <v>2019</v>
      </c>
      <c r="O212" t="str">
        <f ca="1">IF(AND(TbRegistroEntradas[[#This Row],[Data do Caixa Previsto]]&lt;TODAY(),TbRegistroEntradas[[#This Row],[Data do Caixa Realizado]]=""),"Vencida","Não Vencida")</f>
        <v>Não Vencida</v>
      </c>
      <c r="P212" t="str">
        <f>IF(TbRegistroEntradas[[#This Row],[Data da Competência]]=TbRegistroEntradas[[#This Row],[Data do Caixa Previsto]],"Vista","Prazo")</f>
        <v>Prazo</v>
      </c>
      <c r="Q21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58</v>
      </c>
    </row>
    <row r="213" spans="2:17" x14ac:dyDescent="0.25">
      <c r="B213" s="8">
        <v>43595</v>
      </c>
      <c r="C213" s="8">
        <v>43584</v>
      </c>
      <c r="D213" s="8">
        <v>43595</v>
      </c>
      <c r="E213" t="s">
        <v>23</v>
      </c>
      <c r="F213" t="s">
        <v>34</v>
      </c>
      <c r="G213" t="s">
        <v>267</v>
      </c>
      <c r="H213" s="9">
        <v>2091</v>
      </c>
      <c r="I213">
        <f>IF(TbRegistroEntradas[[#This Row],[Data do Caixa Realizado]]="",0,MONTH(TbRegistroEntradas[[#This Row],[Data do Caixa Realizado]]))</f>
        <v>5</v>
      </c>
      <c r="J213">
        <f>IF(TbRegistroEntradas[[#This Row],[Data do Caixa Realizado]]="",0,YEAR(TbRegistroEntradas[[#This Row],[Data do Caixa Realizado]]))</f>
        <v>2019</v>
      </c>
      <c r="K213">
        <f>IF(TbRegistroEntradas[[#This Row],[Data da Competência]]="",0,MONTH(TbRegistroEntradas[[#This Row],[Data da Competência]]))</f>
        <v>4</v>
      </c>
      <c r="L213">
        <f>IF(TbRegistroEntradas[[#This Row],[Data da Competência]]="",0,YEAR(TbRegistroEntradas[[#This Row],[Data da Competência]]))</f>
        <v>2019</v>
      </c>
      <c r="M213">
        <f>IF(TbRegistroEntradas[[#This Row],[Data do Caixa Previsto]]="",0,MONTH(TbRegistroEntradas[[#This Row],[Data do Caixa Previsto]]))</f>
        <v>5</v>
      </c>
      <c r="N213">
        <f>IF(TbRegistroEntradas[[#This Row],[Data do Caixa Previsto]]="",0,YEAR(TbRegistroEntradas[[#This Row],[Data do Caixa Previsto]]))</f>
        <v>2019</v>
      </c>
      <c r="O213" t="str">
        <f ca="1">IF(AND(TbRegistroEntradas[[#This Row],[Data do Caixa Previsto]]&lt;TODAY(),TbRegistroEntradas[[#This Row],[Data do Caixa Realizado]]=""),"Vencida","Não Vencida")</f>
        <v>Não Vencida</v>
      </c>
      <c r="P213" t="str">
        <f>IF(TbRegistroEntradas[[#This Row],[Data da Competência]]=TbRegistroEntradas[[#This Row],[Data do Caixa Previsto]],"Vista","Prazo")</f>
        <v>Prazo</v>
      </c>
      <c r="Q21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4" spans="2:17" x14ac:dyDescent="0.25">
      <c r="B214" s="8">
        <v>43594</v>
      </c>
      <c r="C214" s="8">
        <v>43585</v>
      </c>
      <c r="D214" s="8">
        <v>43594</v>
      </c>
      <c r="E214" t="s">
        <v>23</v>
      </c>
      <c r="F214" t="s">
        <v>34</v>
      </c>
      <c r="G214" t="s">
        <v>268</v>
      </c>
      <c r="H214" s="9">
        <v>3200</v>
      </c>
      <c r="I214">
        <f>IF(TbRegistroEntradas[[#This Row],[Data do Caixa Realizado]]="",0,MONTH(TbRegistroEntradas[[#This Row],[Data do Caixa Realizado]]))</f>
        <v>5</v>
      </c>
      <c r="J214">
        <f>IF(TbRegistroEntradas[[#This Row],[Data do Caixa Realizado]]="",0,YEAR(TbRegistroEntradas[[#This Row],[Data do Caixa Realizado]]))</f>
        <v>2019</v>
      </c>
      <c r="K214">
        <f>IF(TbRegistroEntradas[[#This Row],[Data da Competência]]="",0,MONTH(TbRegistroEntradas[[#This Row],[Data da Competência]]))</f>
        <v>4</v>
      </c>
      <c r="L214">
        <f>IF(TbRegistroEntradas[[#This Row],[Data da Competência]]="",0,YEAR(TbRegistroEntradas[[#This Row],[Data da Competência]]))</f>
        <v>2019</v>
      </c>
      <c r="M214">
        <f>IF(TbRegistroEntradas[[#This Row],[Data do Caixa Previsto]]="",0,MONTH(TbRegistroEntradas[[#This Row],[Data do Caixa Previsto]]))</f>
        <v>5</v>
      </c>
      <c r="N214">
        <f>IF(TbRegistroEntradas[[#This Row],[Data do Caixa Previsto]]="",0,YEAR(TbRegistroEntradas[[#This Row],[Data do Caixa Previsto]]))</f>
        <v>2019</v>
      </c>
      <c r="O214" t="str">
        <f ca="1">IF(AND(TbRegistroEntradas[[#This Row],[Data do Caixa Previsto]]&lt;TODAY(),TbRegistroEntradas[[#This Row],[Data do Caixa Realizado]]=""),"Vencida","Não Vencida")</f>
        <v>Não Vencida</v>
      </c>
      <c r="P214" t="str">
        <f>IF(TbRegistroEntradas[[#This Row],[Data da Competência]]=TbRegistroEntradas[[#This Row],[Data do Caixa Previsto]],"Vista","Prazo")</f>
        <v>Prazo</v>
      </c>
      <c r="Q21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5" spans="2:17" x14ac:dyDescent="0.25">
      <c r="B215" s="8">
        <v>43587</v>
      </c>
      <c r="C215" s="8">
        <v>43587</v>
      </c>
      <c r="D215" s="8">
        <v>43587</v>
      </c>
      <c r="E215" t="s">
        <v>23</v>
      </c>
      <c r="F215" t="s">
        <v>35</v>
      </c>
      <c r="G215" t="s">
        <v>269</v>
      </c>
      <c r="H215" s="9">
        <v>583</v>
      </c>
      <c r="I215">
        <f>IF(TbRegistroEntradas[[#This Row],[Data do Caixa Realizado]]="",0,MONTH(TbRegistroEntradas[[#This Row],[Data do Caixa Realizado]]))</f>
        <v>5</v>
      </c>
      <c r="J215">
        <f>IF(TbRegistroEntradas[[#This Row],[Data do Caixa Realizado]]="",0,YEAR(TbRegistroEntradas[[#This Row],[Data do Caixa Realizado]]))</f>
        <v>2019</v>
      </c>
      <c r="K215">
        <f>IF(TbRegistroEntradas[[#This Row],[Data da Competência]]="",0,MONTH(TbRegistroEntradas[[#This Row],[Data da Competência]]))</f>
        <v>5</v>
      </c>
      <c r="L215">
        <f>IF(TbRegistroEntradas[[#This Row],[Data da Competência]]="",0,YEAR(TbRegistroEntradas[[#This Row],[Data da Competência]]))</f>
        <v>2019</v>
      </c>
      <c r="M215">
        <f>IF(TbRegistroEntradas[[#This Row],[Data do Caixa Previsto]]="",0,MONTH(TbRegistroEntradas[[#This Row],[Data do Caixa Previsto]]))</f>
        <v>5</v>
      </c>
      <c r="N215">
        <f>IF(TbRegistroEntradas[[#This Row],[Data do Caixa Previsto]]="",0,YEAR(TbRegistroEntradas[[#This Row],[Data do Caixa Previsto]]))</f>
        <v>2019</v>
      </c>
      <c r="O215" t="str">
        <f ca="1">IF(AND(TbRegistroEntradas[[#This Row],[Data do Caixa Previsto]]&lt;TODAY(),TbRegistroEntradas[[#This Row],[Data do Caixa Realizado]]=""),"Vencida","Não Vencida")</f>
        <v>Não Vencida</v>
      </c>
      <c r="P215" t="str">
        <f>IF(TbRegistroEntradas[[#This Row],[Data da Competência]]=TbRegistroEntradas[[#This Row],[Data do Caixa Previsto]],"Vista","Prazo")</f>
        <v>Vista</v>
      </c>
      <c r="Q21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6" spans="2:17" x14ac:dyDescent="0.25">
      <c r="B216" s="8">
        <v>43626</v>
      </c>
      <c r="C216" s="8">
        <v>43590</v>
      </c>
      <c r="D216" s="8">
        <v>43626</v>
      </c>
      <c r="E216" t="s">
        <v>23</v>
      </c>
      <c r="F216" t="s">
        <v>34</v>
      </c>
      <c r="G216" t="s">
        <v>270</v>
      </c>
      <c r="H216" s="9">
        <v>4505</v>
      </c>
      <c r="I216">
        <f>IF(TbRegistroEntradas[[#This Row],[Data do Caixa Realizado]]="",0,MONTH(TbRegistroEntradas[[#This Row],[Data do Caixa Realizado]]))</f>
        <v>6</v>
      </c>
      <c r="J216">
        <f>IF(TbRegistroEntradas[[#This Row],[Data do Caixa Realizado]]="",0,YEAR(TbRegistroEntradas[[#This Row],[Data do Caixa Realizado]]))</f>
        <v>2019</v>
      </c>
      <c r="K216">
        <f>IF(TbRegistroEntradas[[#This Row],[Data da Competência]]="",0,MONTH(TbRegistroEntradas[[#This Row],[Data da Competência]]))</f>
        <v>5</v>
      </c>
      <c r="L216">
        <f>IF(TbRegistroEntradas[[#This Row],[Data da Competência]]="",0,YEAR(TbRegistroEntradas[[#This Row],[Data da Competência]]))</f>
        <v>2019</v>
      </c>
      <c r="M216">
        <f>IF(TbRegistroEntradas[[#This Row],[Data do Caixa Previsto]]="",0,MONTH(TbRegistroEntradas[[#This Row],[Data do Caixa Previsto]]))</f>
        <v>6</v>
      </c>
      <c r="N216">
        <f>IF(TbRegistroEntradas[[#This Row],[Data do Caixa Previsto]]="",0,YEAR(TbRegistroEntradas[[#This Row],[Data do Caixa Previsto]]))</f>
        <v>2019</v>
      </c>
      <c r="O216" t="str">
        <f ca="1">IF(AND(TbRegistroEntradas[[#This Row],[Data do Caixa Previsto]]&lt;TODAY(),TbRegistroEntradas[[#This Row],[Data do Caixa Realizado]]=""),"Vencida","Não Vencida")</f>
        <v>Não Vencida</v>
      </c>
      <c r="P216" t="str">
        <f>IF(TbRegistroEntradas[[#This Row],[Data da Competência]]=TbRegistroEntradas[[#This Row],[Data do Caixa Previsto]],"Vista","Prazo")</f>
        <v>Prazo</v>
      </c>
      <c r="Q21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7" spans="2:17" x14ac:dyDescent="0.25">
      <c r="B217" s="8">
        <v>43592</v>
      </c>
      <c r="C217" s="8">
        <v>43592</v>
      </c>
      <c r="D217" s="8">
        <v>43592</v>
      </c>
      <c r="E217" t="s">
        <v>23</v>
      </c>
      <c r="F217" t="s">
        <v>34</v>
      </c>
      <c r="G217" t="s">
        <v>271</v>
      </c>
      <c r="H217" s="9">
        <v>343</v>
      </c>
      <c r="I217">
        <f>IF(TbRegistroEntradas[[#This Row],[Data do Caixa Realizado]]="",0,MONTH(TbRegistroEntradas[[#This Row],[Data do Caixa Realizado]]))</f>
        <v>5</v>
      </c>
      <c r="J217">
        <f>IF(TbRegistroEntradas[[#This Row],[Data do Caixa Realizado]]="",0,YEAR(TbRegistroEntradas[[#This Row],[Data do Caixa Realizado]]))</f>
        <v>2019</v>
      </c>
      <c r="K217">
        <f>IF(TbRegistroEntradas[[#This Row],[Data da Competência]]="",0,MONTH(TbRegistroEntradas[[#This Row],[Data da Competência]]))</f>
        <v>5</v>
      </c>
      <c r="L217">
        <f>IF(TbRegistroEntradas[[#This Row],[Data da Competência]]="",0,YEAR(TbRegistroEntradas[[#This Row],[Data da Competência]]))</f>
        <v>2019</v>
      </c>
      <c r="M217">
        <f>IF(TbRegistroEntradas[[#This Row],[Data do Caixa Previsto]]="",0,MONTH(TbRegistroEntradas[[#This Row],[Data do Caixa Previsto]]))</f>
        <v>5</v>
      </c>
      <c r="N217">
        <f>IF(TbRegistroEntradas[[#This Row],[Data do Caixa Previsto]]="",0,YEAR(TbRegistroEntradas[[#This Row],[Data do Caixa Previsto]]))</f>
        <v>2019</v>
      </c>
      <c r="O217" t="str">
        <f ca="1">IF(AND(TbRegistroEntradas[[#This Row],[Data do Caixa Previsto]]&lt;TODAY(),TbRegistroEntradas[[#This Row],[Data do Caixa Realizado]]=""),"Vencida","Não Vencida")</f>
        <v>Não Vencida</v>
      </c>
      <c r="P217" t="str">
        <f>IF(TbRegistroEntradas[[#This Row],[Data da Competência]]=TbRegistroEntradas[[#This Row],[Data do Caixa Previsto]],"Vista","Prazo")</f>
        <v>Vista</v>
      </c>
      <c r="Q21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8" spans="2:17" x14ac:dyDescent="0.25">
      <c r="B218" s="8">
        <v>43603</v>
      </c>
      <c r="C218" s="8">
        <v>43593</v>
      </c>
      <c r="D218" s="8">
        <v>43603</v>
      </c>
      <c r="E218" t="s">
        <v>23</v>
      </c>
      <c r="F218" t="s">
        <v>32</v>
      </c>
      <c r="G218" t="s">
        <v>272</v>
      </c>
      <c r="H218" s="9">
        <v>4510</v>
      </c>
      <c r="I218">
        <f>IF(TbRegistroEntradas[[#This Row],[Data do Caixa Realizado]]="",0,MONTH(TbRegistroEntradas[[#This Row],[Data do Caixa Realizado]]))</f>
        <v>5</v>
      </c>
      <c r="J218">
        <f>IF(TbRegistroEntradas[[#This Row],[Data do Caixa Realizado]]="",0,YEAR(TbRegistroEntradas[[#This Row],[Data do Caixa Realizado]]))</f>
        <v>2019</v>
      </c>
      <c r="K218">
        <f>IF(TbRegistroEntradas[[#This Row],[Data da Competência]]="",0,MONTH(TbRegistroEntradas[[#This Row],[Data da Competência]]))</f>
        <v>5</v>
      </c>
      <c r="L218">
        <f>IF(TbRegistroEntradas[[#This Row],[Data da Competência]]="",0,YEAR(TbRegistroEntradas[[#This Row],[Data da Competência]]))</f>
        <v>2019</v>
      </c>
      <c r="M218">
        <f>IF(TbRegistroEntradas[[#This Row],[Data do Caixa Previsto]]="",0,MONTH(TbRegistroEntradas[[#This Row],[Data do Caixa Previsto]]))</f>
        <v>5</v>
      </c>
      <c r="N218">
        <f>IF(TbRegistroEntradas[[#This Row],[Data do Caixa Previsto]]="",0,YEAR(TbRegistroEntradas[[#This Row],[Data do Caixa Previsto]]))</f>
        <v>2019</v>
      </c>
      <c r="O218" t="str">
        <f ca="1">IF(AND(TbRegistroEntradas[[#This Row],[Data do Caixa Previsto]]&lt;TODAY(),TbRegistroEntradas[[#This Row],[Data do Caixa Realizado]]=""),"Vencida","Não Vencida")</f>
        <v>Não Vencida</v>
      </c>
      <c r="P218" t="str">
        <f>IF(TbRegistroEntradas[[#This Row],[Data da Competência]]=TbRegistroEntradas[[#This Row],[Data do Caixa Previsto]],"Vista","Prazo")</f>
        <v>Prazo</v>
      </c>
      <c r="Q21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19" spans="2:17" x14ac:dyDescent="0.25">
      <c r="B219" s="8">
        <v>43597</v>
      </c>
      <c r="C219" s="8">
        <v>43597</v>
      </c>
      <c r="D219" s="8">
        <v>43597</v>
      </c>
      <c r="E219" t="s">
        <v>23</v>
      </c>
      <c r="F219" t="s">
        <v>34</v>
      </c>
      <c r="G219" t="s">
        <v>273</v>
      </c>
      <c r="H219" s="9">
        <v>667</v>
      </c>
      <c r="I219">
        <f>IF(TbRegistroEntradas[[#This Row],[Data do Caixa Realizado]]="",0,MONTH(TbRegistroEntradas[[#This Row],[Data do Caixa Realizado]]))</f>
        <v>5</v>
      </c>
      <c r="J219">
        <f>IF(TbRegistroEntradas[[#This Row],[Data do Caixa Realizado]]="",0,YEAR(TbRegistroEntradas[[#This Row],[Data do Caixa Realizado]]))</f>
        <v>2019</v>
      </c>
      <c r="K219">
        <f>IF(TbRegistroEntradas[[#This Row],[Data da Competência]]="",0,MONTH(TbRegistroEntradas[[#This Row],[Data da Competência]]))</f>
        <v>5</v>
      </c>
      <c r="L219">
        <f>IF(TbRegistroEntradas[[#This Row],[Data da Competência]]="",0,YEAR(TbRegistroEntradas[[#This Row],[Data da Competência]]))</f>
        <v>2019</v>
      </c>
      <c r="M219">
        <f>IF(TbRegistroEntradas[[#This Row],[Data do Caixa Previsto]]="",0,MONTH(TbRegistroEntradas[[#This Row],[Data do Caixa Previsto]]))</f>
        <v>5</v>
      </c>
      <c r="N219">
        <f>IF(TbRegistroEntradas[[#This Row],[Data do Caixa Previsto]]="",0,YEAR(TbRegistroEntradas[[#This Row],[Data do Caixa Previsto]]))</f>
        <v>2019</v>
      </c>
      <c r="O219" t="str">
        <f ca="1">IF(AND(TbRegistroEntradas[[#This Row],[Data do Caixa Previsto]]&lt;TODAY(),TbRegistroEntradas[[#This Row],[Data do Caixa Realizado]]=""),"Vencida","Não Vencida")</f>
        <v>Não Vencida</v>
      </c>
      <c r="P219" t="str">
        <f>IF(TbRegistroEntradas[[#This Row],[Data da Competência]]=TbRegistroEntradas[[#This Row],[Data do Caixa Previsto]],"Vista","Prazo")</f>
        <v>Vista</v>
      </c>
      <c r="Q21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0" spans="2:17" x14ac:dyDescent="0.25">
      <c r="B220" s="8">
        <v>43631</v>
      </c>
      <c r="C220" s="8">
        <v>43600</v>
      </c>
      <c r="D220" s="8">
        <v>43631</v>
      </c>
      <c r="E220" t="s">
        <v>23</v>
      </c>
      <c r="F220" t="s">
        <v>34</v>
      </c>
      <c r="G220" t="s">
        <v>274</v>
      </c>
      <c r="H220" s="9">
        <v>1006</v>
      </c>
      <c r="I220">
        <f>IF(TbRegistroEntradas[[#This Row],[Data do Caixa Realizado]]="",0,MONTH(TbRegistroEntradas[[#This Row],[Data do Caixa Realizado]]))</f>
        <v>6</v>
      </c>
      <c r="J220">
        <f>IF(TbRegistroEntradas[[#This Row],[Data do Caixa Realizado]]="",0,YEAR(TbRegistroEntradas[[#This Row],[Data do Caixa Realizado]]))</f>
        <v>2019</v>
      </c>
      <c r="K220">
        <f>IF(TbRegistroEntradas[[#This Row],[Data da Competência]]="",0,MONTH(TbRegistroEntradas[[#This Row],[Data da Competência]]))</f>
        <v>5</v>
      </c>
      <c r="L220">
        <f>IF(TbRegistroEntradas[[#This Row],[Data da Competência]]="",0,YEAR(TbRegistroEntradas[[#This Row],[Data da Competência]]))</f>
        <v>2019</v>
      </c>
      <c r="M220">
        <f>IF(TbRegistroEntradas[[#This Row],[Data do Caixa Previsto]]="",0,MONTH(TbRegistroEntradas[[#This Row],[Data do Caixa Previsto]]))</f>
        <v>6</v>
      </c>
      <c r="N220">
        <f>IF(TbRegistroEntradas[[#This Row],[Data do Caixa Previsto]]="",0,YEAR(TbRegistroEntradas[[#This Row],[Data do Caixa Previsto]]))</f>
        <v>2019</v>
      </c>
      <c r="O220" t="str">
        <f ca="1">IF(AND(TbRegistroEntradas[[#This Row],[Data do Caixa Previsto]]&lt;TODAY(),TbRegistroEntradas[[#This Row],[Data do Caixa Realizado]]=""),"Vencida","Não Vencida")</f>
        <v>Não Vencida</v>
      </c>
      <c r="P220" t="str">
        <f>IF(TbRegistroEntradas[[#This Row],[Data da Competência]]=TbRegistroEntradas[[#This Row],[Data do Caixa Previsto]],"Vista","Prazo")</f>
        <v>Prazo</v>
      </c>
      <c r="Q22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1" spans="2:17" x14ac:dyDescent="0.25">
      <c r="B221" s="8">
        <v>43635</v>
      </c>
      <c r="C221" s="8">
        <v>43604</v>
      </c>
      <c r="D221" s="8">
        <v>43635</v>
      </c>
      <c r="E221" t="s">
        <v>23</v>
      </c>
      <c r="F221" t="s">
        <v>35</v>
      </c>
      <c r="G221" t="s">
        <v>275</v>
      </c>
      <c r="H221" s="9">
        <v>1071</v>
      </c>
      <c r="I221">
        <f>IF(TbRegistroEntradas[[#This Row],[Data do Caixa Realizado]]="",0,MONTH(TbRegistroEntradas[[#This Row],[Data do Caixa Realizado]]))</f>
        <v>6</v>
      </c>
      <c r="J221">
        <f>IF(TbRegistroEntradas[[#This Row],[Data do Caixa Realizado]]="",0,YEAR(TbRegistroEntradas[[#This Row],[Data do Caixa Realizado]]))</f>
        <v>2019</v>
      </c>
      <c r="K221">
        <f>IF(TbRegistroEntradas[[#This Row],[Data da Competência]]="",0,MONTH(TbRegistroEntradas[[#This Row],[Data da Competência]]))</f>
        <v>5</v>
      </c>
      <c r="L221">
        <f>IF(TbRegistroEntradas[[#This Row],[Data da Competência]]="",0,YEAR(TbRegistroEntradas[[#This Row],[Data da Competência]]))</f>
        <v>2019</v>
      </c>
      <c r="M221">
        <f>IF(TbRegistroEntradas[[#This Row],[Data do Caixa Previsto]]="",0,MONTH(TbRegistroEntradas[[#This Row],[Data do Caixa Previsto]]))</f>
        <v>6</v>
      </c>
      <c r="N221">
        <f>IF(TbRegistroEntradas[[#This Row],[Data do Caixa Previsto]]="",0,YEAR(TbRegistroEntradas[[#This Row],[Data do Caixa Previsto]]))</f>
        <v>2019</v>
      </c>
      <c r="O221" t="str">
        <f ca="1">IF(AND(TbRegistroEntradas[[#This Row],[Data do Caixa Previsto]]&lt;TODAY(),TbRegistroEntradas[[#This Row],[Data do Caixa Realizado]]=""),"Vencida","Não Vencida")</f>
        <v>Não Vencida</v>
      </c>
      <c r="P221" t="str">
        <f>IF(TbRegistroEntradas[[#This Row],[Data da Competência]]=TbRegistroEntradas[[#This Row],[Data do Caixa Previsto]],"Vista","Prazo")</f>
        <v>Prazo</v>
      </c>
      <c r="Q22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2" spans="2:17" x14ac:dyDescent="0.25">
      <c r="B222" s="8">
        <v>43630</v>
      </c>
      <c r="C222" s="8">
        <v>43609</v>
      </c>
      <c r="D222" s="8">
        <v>43630</v>
      </c>
      <c r="E222" t="s">
        <v>23</v>
      </c>
      <c r="F222" t="s">
        <v>33</v>
      </c>
      <c r="G222" t="s">
        <v>276</v>
      </c>
      <c r="H222" s="9">
        <v>2194</v>
      </c>
      <c r="I222">
        <f>IF(TbRegistroEntradas[[#This Row],[Data do Caixa Realizado]]="",0,MONTH(TbRegistroEntradas[[#This Row],[Data do Caixa Realizado]]))</f>
        <v>6</v>
      </c>
      <c r="J222">
        <f>IF(TbRegistroEntradas[[#This Row],[Data do Caixa Realizado]]="",0,YEAR(TbRegistroEntradas[[#This Row],[Data do Caixa Realizado]]))</f>
        <v>2019</v>
      </c>
      <c r="K222">
        <f>IF(TbRegistroEntradas[[#This Row],[Data da Competência]]="",0,MONTH(TbRegistroEntradas[[#This Row],[Data da Competência]]))</f>
        <v>5</v>
      </c>
      <c r="L222">
        <f>IF(TbRegistroEntradas[[#This Row],[Data da Competência]]="",0,YEAR(TbRegistroEntradas[[#This Row],[Data da Competência]]))</f>
        <v>2019</v>
      </c>
      <c r="M222">
        <f>IF(TbRegistroEntradas[[#This Row],[Data do Caixa Previsto]]="",0,MONTH(TbRegistroEntradas[[#This Row],[Data do Caixa Previsto]]))</f>
        <v>6</v>
      </c>
      <c r="N222">
        <f>IF(TbRegistroEntradas[[#This Row],[Data do Caixa Previsto]]="",0,YEAR(TbRegistroEntradas[[#This Row],[Data do Caixa Previsto]]))</f>
        <v>2019</v>
      </c>
      <c r="O222" t="str">
        <f ca="1">IF(AND(TbRegistroEntradas[[#This Row],[Data do Caixa Previsto]]&lt;TODAY(),TbRegistroEntradas[[#This Row],[Data do Caixa Realizado]]=""),"Vencida","Não Vencida")</f>
        <v>Não Vencida</v>
      </c>
      <c r="P222" t="str">
        <f>IF(TbRegistroEntradas[[#This Row],[Data da Competência]]=TbRegistroEntradas[[#This Row],[Data do Caixa Previsto]],"Vista","Prazo")</f>
        <v>Prazo</v>
      </c>
      <c r="Q22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3" spans="2:17" x14ac:dyDescent="0.25">
      <c r="B223" s="8" t="s">
        <v>68</v>
      </c>
      <c r="C223" s="8">
        <v>43611</v>
      </c>
      <c r="D223" s="8">
        <v>43611</v>
      </c>
      <c r="E223" t="s">
        <v>23</v>
      </c>
      <c r="F223" t="s">
        <v>34</v>
      </c>
      <c r="G223" t="s">
        <v>277</v>
      </c>
      <c r="H223" s="9">
        <v>2531</v>
      </c>
      <c r="I223">
        <f>IF(TbRegistroEntradas[[#This Row],[Data do Caixa Realizado]]="",0,MONTH(TbRegistroEntradas[[#This Row],[Data do Caixa Realizado]]))</f>
        <v>0</v>
      </c>
      <c r="J223">
        <f>IF(TbRegistroEntradas[[#This Row],[Data do Caixa Realizado]]="",0,YEAR(TbRegistroEntradas[[#This Row],[Data do Caixa Realizado]]))</f>
        <v>0</v>
      </c>
      <c r="K223">
        <f>IF(TbRegistroEntradas[[#This Row],[Data da Competência]]="",0,MONTH(TbRegistroEntradas[[#This Row],[Data da Competência]]))</f>
        <v>5</v>
      </c>
      <c r="L223">
        <f>IF(TbRegistroEntradas[[#This Row],[Data da Competência]]="",0,YEAR(TbRegistroEntradas[[#This Row],[Data da Competência]]))</f>
        <v>2019</v>
      </c>
      <c r="M223">
        <f>IF(TbRegistroEntradas[[#This Row],[Data do Caixa Previsto]]="",0,MONTH(TbRegistroEntradas[[#This Row],[Data do Caixa Previsto]]))</f>
        <v>5</v>
      </c>
      <c r="N223">
        <f>IF(TbRegistroEntradas[[#This Row],[Data do Caixa Previsto]]="",0,YEAR(TbRegistroEntradas[[#This Row],[Data do Caixa Previsto]]))</f>
        <v>2019</v>
      </c>
      <c r="O223" t="str">
        <f ca="1">IF(AND(TbRegistroEntradas[[#This Row],[Data do Caixa Previsto]]&lt;TODAY(),TbRegistroEntradas[[#This Row],[Data do Caixa Realizado]]=""),"Vencida","Não Vencida")</f>
        <v>Vencida</v>
      </c>
      <c r="P223" t="str">
        <f>IF(TbRegistroEntradas[[#This Row],[Data da Competência]]=TbRegistroEntradas[[#This Row],[Data do Caixa Previsto]],"Vista","Prazo")</f>
        <v>Vista</v>
      </c>
      <c r="Q22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1304</v>
      </c>
    </row>
    <row r="224" spans="2:17" x14ac:dyDescent="0.25">
      <c r="B224" s="8">
        <v>43655</v>
      </c>
      <c r="C224" s="8">
        <v>43614</v>
      </c>
      <c r="D224" s="8">
        <v>43655</v>
      </c>
      <c r="E224" t="s">
        <v>23</v>
      </c>
      <c r="F224" t="s">
        <v>32</v>
      </c>
      <c r="G224" t="s">
        <v>278</v>
      </c>
      <c r="H224" s="9">
        <v>657</v>
      </c>
      <c r="I224">
        <f>IF(TbRegistroEntradas[[#This Row],[Data do Caixa Realizado]]="",0,MONTH(TbRegistroEntradas[[#This Row],[Data do Caixa Realizado]]))</f>
        <v>7</v>
      </c>
      <c r="J224">
        <f>IF(TbRegistroEntradas[[#This Row],[Data do Caixa Realizado]]="",0,YEAR(TbRegistroEntradas[[#This Row],[Data do Caixa Realizado]]))</f>
        <v>2019</v>
      </c>
      <c r="K224">
        <f>IF(TbRegistroEntradas[[#This Row],[Data da Competência]]="",0,MONTH(TbRegistroEntradas[[#This Row],[Data da Competência]]))</f>
        <v>5</v>
      </c>
      <c r="L224">
        <f>IF(TbRegistroEntradas[[#This Row],[Data da Competência]]="",0,YEAR(TbRegistroEntradas[[#This Row],[Data da Competência]]))</f>
        <v>2019</v>
      </c>
      <c r="M224">
        <f>IF(TbRegistroEntradas[[#This Row],[Data do Caixa Previsto]]="",0,MONTH(TbRegistroEntradas[[#This Row],[Data do Caixa Previsto]]))</f>
        <v>7</v>
      </c>
      <c r="N224">
        <f>IF(TbRegistroEntradas[[#This Row],[Data do Caixa Previsto]]="",0,YEAR(TbRegistroEntradas[[#This Row],[Data do Caixa Previsto]]))</f>
        <v>2019</v>
      </c>
      <c r="O224" t="str">
        <f ca="1">IF(AND(TbRegistroEntradas[[#This Row],[Data do Caixa Previsto]]&lt;TODAY(),TbRegistroEntradas[[#This Row],[Data do Caixa Realizado]]=""),"Vencida","Não Vencida")</f>
        <v>Não Vencida</v>
      </c>
      <c r="P224" t="str">
        <f>IF(TbRegistroEntradas[[#This Row],[Data da Competência]]=TbRegistroEntradas[[#This Row],[Data do Caixa Previsto]],"Vista","Prazo")</f>
        <v>Prazo</v>
      </c>
      <c r="Q22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5" spans="2:17" x14ac:dyDescent="0.25">
      <c r="B225" s="8" t="s">
        <v>68</v>
      </c>
      <c r="C225" s="8">
        <v>43615</v>
      </c>
      <c r="D225" s="8">
        <v>43648</v>
      </c>
      <c r="E225" t="s">
        <v>23</v>
      </c>
      <c r="F225" t="s">
        <v>31</v>
      </c>
      <c r="G225" t="s">
        <v>279</v>
      </c>
      <c r="H225" s="9">
        <v>4535</v>
      </c>
      <c r="I225">
        <f>IF(TbRegistroEntradas[[#This Row],[Data do Caixa Realizado]]="",0,MONTH(TbRegistroEntradas[[#This Row],[Data do Caixa Realizado]]))</f>
        <v>0</v>
      </c>
      <c r="J225">
        <f>IF(TbRegistroEntradas[[#This Row],[Data do Caixa Realizado]]="",0,YEAR(TbRegistroEntradas[[#This Row],[Data do Caixa Realizado]]))</f>
        <v>0</v>
      </c>
      <c r="K225">
        <f>IF(TbRegistroEntradas[[#This Row],[Data da Competência]]="",0,MONTH(TbRegistroEntradas[[#This Row],[Data da Competência]]))</f>
        <v>5</v>
      </c>
      <c r="L225">
        <f>IF(TbRegistroEntradas[[#This Row],[Data da Competência]]="",0,YEAR(TbRegistroEntradas[[#This Row],[Data da Competência]]))</f>
        <v>2019</v>
      </c>
      <c r="M225">
        <f>IF(TbRegistroEntradas[[#This Row],[Data do Caixa Previsto]]="",0,MONTH(TbRegistroEntradas[[#This Row],[Data do Caixa Previsto]]))</f>
        <v>7</v>
      </c>
      <c r="N225">
        <f>IF(TbRegistroEntradas[[#This Row],[Data do Caixa Previsto]]="",0,YEAR(TbRegistroEntradas[[#This Row],[Data do Caixa Previsto]]))</f>
        <v>2019</v>
      </c>
      <c r="O225" t="str">
        <f ca="1">IF(AND(TbRegistroEntradas[[#This Row],[Data do Caixa Previsto]]&lt;TODAY(),TbRegistroEntradas[[#This Row],[Data do Caixa Realizado]]=""),"Vencida","Não Vencida")</f>
        <v>Vencida</v>
      </c>
      <c r="P225" t="str">
        <f>IF(TbRegistroEntradas[[#This Row],[Data da Competência]]=TbRegistroEntradas[[#This Row],[Data do Caixa Previsto]],"Vista","Prazo")</f>
        <v>Prazo</v>
      </c>
      <c r="Q225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1267</v>
      </c>
    </row>
    <row r="226" spans="2:17" x14ac:dyDescent="0.25">
      <c r="B226" s="8">
        <v>43641</v>
      </c>
      <c r="C226" s="8">
        <v>43620</v>
      </c>
      <c r="D226" s="8">
        <v>43641</v>
      </c>
      <c r="E226" t="s">
        <v>23</v>
      </c>
      <c r="F226" t="s">
        <v>34</v>
      </c>
      <c r="G226" t="s">
        <v>280</v>
      </c>
      <c r="H226" s="9">
        <v>1848</v>
      </c>
      <c r="I226">
        <f>IF(TbRegistroEntradas[[#This Row],[Data do Caixa Realizado]]="",0,MONTH(TbRegistroEntradas[[#This Row],[Data do Caixa Realizado]]))</f>
        <v>6</v>
      </c>
      <c r="J226">
        <f>IF(TbRegistroEntradas[[#This Row],[Data do Caixa Realizado]]="",0,YEAR(TbRegistroEntradas[[#This Row],[Data do Caixa Realizado]]))</f>
        <v>2019</v>
      </c>
      <c r="K226">
        <f>IF(TbRegistroEntradas[[#This Row],[Data da Competência]]="",0,MONTH(TbRegistroEntradas[[#This Row],[Data da Competência]]))</f>
        <v>6</v>
      </c>
      <c r="L226">
        <f>IF(TbRegistroEntradas[[#This Row],[Data da Competência]]="",0,YEAR(TbRegistroEntradas[[#This Row],[Data da Competência]]))</f>
        <v>2019</v>
      </c>
      <c r="M226">
        <f>IF(TbRegistroEntradas[[#This Row],[Data do Caixa Previsto]]="",0,MONTH(TbRegistroEntradas[[#This Row],[Data do Caixa Previsto]]))</f>
        <v>6</v>
      </c>
      <c r="N226">
        <f>IF(TbRegistroEntradas[[#This Row],[Data do Caixa Previsto]]="",0,YEAR(TbRegistroEntradas[[#This Row],[Data do Caixa Previsto]]))</f>
        <v>2019</v>
      </c>
      <c r="O226" t="str">
        <f ca="1">IF(AND(TbRegistroEntradas[[#This Row],[Data do Caixa Previsto]]&lt;TODAY(),TbRegistroEntradas[[#This Row],[Data do Caixa Realizado]]=""),"Vencida","Não Vencida")</f>
        <v>Não Vencida</v>
      </c>
      <c r="P226" t="str">
        <f>IF(TbRegistroEntradas[[#This Row],[Data da Competência]]=TbRegistroEntradas[[#This Row],[Data do Caixa Previsto]],"Vista","Prazo")</f>
        <v>Prazo</v>
      </c>
      <c r="Q226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27" spans="2:17" x14ac:dyDescent="0.25">
      <c r="B227" s="8">
        <v>43649</v>
      </c>
      <c r="C227" s="8">
        <v>43625</v>
      </c>
      <c r="D227" s="8">
        <v>43632</v>
      </c>
      <c r="E227" t="s">
        <v>23</v>
      </c>
      <c r="F227" t="s">
        <v>34</v>
      </c>
      <c r="G227" t="s">
        <v>281</v>
      </c>
      <c r="H227" s="9">
        <v>191</v>
      </c>
      <c r="I227">
        <f>IF(TbRegistroEntradas[[#This Row],[Data do Caixa Realizado]]="",0,MONTH(TbRegistroEntradas[[#This Row],[Data do Caixa Realizado]]))</f>
        <v>7</v>
      </c>
      <c r="J227">
        <f>IF(TbRegistroEntradas[[#This Row],[Data do Caixa Realizado]]="",0,YEAR(TbRegistroEntradas[[#This Row],[Data do Caixa Realizado]]))</f>
        <v>2019</v>
      </c>
      <c r="K227">
        <f>IF(TbRegistroEntradas[[#This Row],[Data da Competência]]="",0,MONTH(TbRegistroEntradas[[#This Row],[Data da Competência]]))</f>
        <v>6</v>
      </c>
      <c r="L227">
        <f>IF(TbRegistroEntradas[[#This Row],[Data da Competência]]="",0,YEAR(TbRegistroEntradas[[#This Row],[Data da Competência]]))</f>
        <v>2019</v>
      </c>
      <c r="M227">
        <f>IF(TbRegistroEntradas[[#This Row],[Data do Caixa Previsto]]="",0,MONTH(TbRegistroEntradas[[#This Row],[Data do Caixa Previsto]]))</f>
        <v>6</v>
      </c>
      <c r="N227">
        <f>IF(TbRegistroEntradas[[#This Row],[Data do Caixa Previsto]]="",0,YEAR(TbRegistroEntradas[[#This Row],[Data do Caixa Previsto]]))</f>
        <v>2019</v>
      </c>
      <c r="O227" t="str">
        <f ca="1">IF(AND(TbRegistroEntradas[[#This Row],[Data do Caixa Previsto]]&lt;TODAY(),TbRegistroEntradas[[#This Row],[Data do Caixa Realizado]]=""),"Vencida","Não Vencida")</f>
        <v>Não Vencida</v>
      </c>
      <c r="P227" t="str">
        <f>IF(TbRegistroEntradas[[#This Row],[Data da Competência]]=TbRegistroEntradas[[#This Row],[Data do Caixa Previsto]],"Vista","Prazo")</f>
        <v>Prazo</v>
      </c>
      <c r="Q227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17</v>
      </c>
    </row>
    <row r="228" spans="2:17" x14ac:dyDescent="0.25">
      <c r="B228" s="8">
        <v>43743</v>
      </c>
      <c r="C228" s="8">
        <v>43629</v>
      </c>
      <c r="D228" s="8">
        <v>43668</v>
      </c>
      <c r="E228" t="s">
        <v>23</v>
      </c>
      <c r="F228" t="s">
        <v>31</v>
      </c>
      <c r="G228" t="s">
        <v>282</v>
      </c>
      <c r="H228" s="9">
        <v>508</v>
      </c>
      <c r="I228">
        <f>IF(TbRegistroEntradas[[#This Row],[Data do Caixa Realizado]]="",0,MONTH(TbRegistroEntradas[[#This Row],[Data do Caixa Realizado]]))</f>
        <v>10</v>
      </c>
      <c r="J228">
        <f>IF(TbRegistroEntradas[[#This Row],[Data do Caixa Realizado]]="",0,YEAR(TbRegistroEntradas[[#This Row],[Data do Caixa Realizado]]))</f>
        <v>2019</v>
      </c>
      <c r="K228">
        <f>IF(TbRegistroEntradas[[#This Row],[Data da Competência]]="",0,MONTH(TbRegistroEntradas[[#This Row],[Data da Competência]]))</f>
        <v>6</v>
      </c>
      <c r="L228">
        <f>IF(TbRegistroEntradas[[#This Row],[Data da Competência]]="",0,YEAR(TbRegistroEntradas[[#This Row],[Data da Competência]]))</f>
        <v>2019</v>
      </c>
      <c r="M228">
        <f>IF(TbRegistroEntradas[[#This Row],[Data do Caixa Previsto]]="",0,MONTH(TbRegistroEntradas[[#This Row],[Data do Caixa Previsto]]))</f>
        <v>7</v>
      </c>
      <c r="N228">
        <f>IF(TbRegistroEntradas[[#This Row],[Data do Caixa Previsto]]="",0,YEAR(TbRegistroEntradas[[#This Row],[Data do Caixa Previsto]]))</f>
        <v>2019</v>
      </c>
      <c r="O228" t="str">
        <f ca="1">IF(AND(TbRegistroEntradas[[#This Row],[Data do Caixa Previsto]]&lt;TODAY(),TbRegistroEntradas[[#This Row],[Data do Caixa Realizado]]=""),"Vencida","Não Vencida")</f>
        <v>Não Vencida</v>
      </c>
      <c r="P228" t="str">
        <f>IF(TbRegistroEntradas[[#This Row],[Data da Competência]]=TbRegistroEntradas[[#This Row],[Data do Caixa Previsto]],"Vista","Prazo")</f>
        <v>Prazo</v>
      </c>
      <c r="Q228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75</v>
      </c>
    </row>
    <row r="229" spans="2:17" x14ac:dyDescent="0.25">
      <c r="B229" s="8" t="s">
        <v>68</v>
      </c>
      <c r="C229" s="8">
        <v>43631</v>
      </c>
      <c r="D229" s="8">
        <v>43631</v>
      </c>
      <c r="E229" t="s">
        <v>23</v>
      </c>
      <c r="F229" t="s">
        <v>33</v>
      </c>
      <c r="G229" t="s">
        <v>283</v>
      </c>
      <c r="H229" s="9">
        <v>1482</v>
      </c>
      <c r="I229">
        <f>IF(TbRegistroEntradas[[#This Row],[Data do Caixa Realizado]]="",0,MONTH(TbRegistroEntradas[[#This Row],[Data do Caixa Realizado]]))</f>
        <v>0</v>
      </c>
      <c r="J229">
        <f>IF(TbRegistroEntradas[[#This Row],[Data do Caixa Realizado]]="",0,YEAR(TbRegistroEntradas[[#This Row],[Data do Caixa Realizado]]))</f>
        <v>0</v>
      </c>
      <c r="K229">
        <f>IF(TbRegistroEntradas[[#This Row],[Data da Competência]]="",0,MONTH(TbRegistroEntradas[[#This Row],[Data da Competência]]))</f>
        <v>6</v>
      </c>
      <c r="L229">
        <f>IF(TbRegistroEntradas[[#This Row],[Data da Competência]]="",0,YEAR(TbRegistroEntradas[[#This Row],[Data da Competência]]))</f>
        <v>2019</v>
      </c>
      <c r="M229">
        <f>IF(TbRegistroEntradas[[#This Row],[Data do Caixa Previsto]]="",0,MONTH(TbRegistroEntradas[[#This Row],[Data do Caixa Previsto]]))</f>
        <v>6</v>
      </c>
      <c r="N229">
        <f>IF(TbRegistroEntradas[[#This Row],[Data do Caixa Previsto]]="",0,YEAR(TbRegistroEntradas[[#This Row],[Data do Caixa Previsto]]))</f>
        <v>2019</v>
      </c>
      <c r="O229" t="str">
        <f ca="1">IF(AND(TbRegistroEntradas[[#This Row],[Data do Caixa Previsto]]&lt;TODAY(),TbRegistroEntradas[[#This Row],[Data do Caixa Realizado]]=""),"Vencida","Não Vencida")</f>
        <v>Vencida</v>
      </c>
      <c r="P229" t="str">
        <f>IF(TbRegistroEntradas[[#This Row],[Data da Competência]]=TbRegistroEntradas[[#This Row],[Data do Caixa Previsto]],"Vista","Prazo")</f>
        <v>Vista</v>
      </c>
      <c r="Q229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1284</v>
      </c>
    </row>
    <row r="230" spans="2:17" x14ac:dyDescent="0.25">
      <c r="B230" s="8">
        <v>43647</v>
      </c>
      <c r="C230" s="8">
        <v>43632</v>
      </c>
      <c r="D230" s="8">
        <v>43647</v>
      </c>
      <c r="E230" t="s">
        <v>23</v>
      </c>
      <c r="F230" t="s">
        <v>35</v>
      </c>
      <c r="G230" t="s">
        <v>284</v>
      </c>
      <c r="H230" s="9">
        <v>555</v>
      </c>
      <c r="I230">
        <f>IF(TbRegistroEntradas[[#This Row],[Data do Caixa Realizado]]="",0,MONTH(TbRegistroEntradas[[#This Row],[Data do Caixa Realizado]]))</f>
        <v>7</v>
      </c>
      <c r="J230">
        <f>IF(TbRegistroEntradas[[#This Row],[Data do Caixa Realizado]]="",0,YEAR(TbRegistroEntradas[[#This Row],[Data do Caixa Realizado]]))</f>
        <v>2019</v>
      </c>
      <c r="K230">
        <f>IF(TbRegistroEntradas[[#This Row],[Data da Competência]]="",0,MONTH(TbRegistroEntradas[[#This Row],[Data da Competência]]))</f>
        <v>6</v>
      </c>
      <c r="L230">
        <f>IF(TbRegistroEntradas[[#This Row],[Data da Competência]]="",0,YEAR(TbRegistroEntradas[[#This Row],[Data da Competência]]))</f>
        <v>2019</v>
      </c>
      <c r="M230">
        <f>IF(TbRegistroEntradas[[#This Row],[Data do Caixa Previsto]]="",0,MONTH(TbRegistroEntradas[[#This Row],[Data do Caixa Previsto]]))</f>
        <v>7</v>
      </c>
      <c r="N230">
        <f>IF(TbRegistroEntradas[[#This Row],[Data do Caixa Previsto]]="",0,YEAR(TbRegistroEntradas[[#This Row],[Data do Caixa Previsto]]))</f>
        <v>2019</v>
      </c>
      <c r="O230" t="str">
        <f ca="1">IF(AND(TbRegistroEntradas[[#This Row],[Data do Caixa Previsto]]&lt;TODAY(),TbRegistroEntradas[[#This Row],[Data do Caixa Realizado]]=""),"Vencida","Não Vencida")</f>
        <v>Não Vencida</v>
      </c>
      <c r="P230" t="str">
        <f>IF(TbRegistroEntradas[[#This Row],[Data da Competência]]=TbRegistroEntradas[[#This Row],[Data do Caixa Previsto]],"Vista","Prazo")</f>
        <v>Prazo</v>
      </c>
      <c r="Q230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1" spans="2:17" x14ac:dyDescent="0.25">
      <c r="B231" s="8">
        <v>43687</v>
      </c>
      <c r="C231" s="8">
        <v>43636</v>
      </c>
      <c r="D231" s="8">
        <v>43687</v>
      </c>
      <c r="E231" t="s">
        <v>23</v>
      </c>
      <c r="F231" t="s">
        <v>31</v>
      </c>
      <c r="G231" t="s">
        <v>285</v>
      </c>
      <c r="H231" s="9">
        <v>1906</v>
      </c>
      <c r="I231">
        <f>IF(TbRegistroEntradas[[#This Row],[Data do Caixa Realizado]]="",0,MONTH(TbRegistroEntradas[[#This Row],[Data do Caixa Realizado]]))</f>
        <v>8</v>
      </c>
      <c r="J231">
        <f>IF(TbRegistroEntradas[[#This Row],[Data do Caixa Realizado]]="",0,YEAR(TbRegistroEntradas[[#This Row],[Data do Caixa Realizado]]))</f>
        <v>2019</v>
      </c>
      <c r="K231">
        <f>IF(TbRegistroEntradas[[#This Row],[Data da Competência]]="",0,MONTH(TbRegistroEntradas[[#This Row],[Data da Competência]]))</f>
        <v>6</v>
      </c>
      <c r="L231">
        <f>IF(TbRegistroEntradas[[#This Row],[Data da Competência]]="",0,YEAR(TbRegistroEntradas[[#This Row],[Data da Competência]]))</f>
        <v>2019</v>
      </c>
      <c r="M231">
        <f>IF(TbRegistroEntradas[[#This Row],[Data do Caixa Previsto]]="",0,MONTH(TbRegistroEntradas[[#This Row],[Data do Caixa Previsto]]))</f>
        <v>8</v>
      </c>
      <c r="N231">
        <f>IF(TbRegistroEntradas[[#This Row],[Data do Caixa Previsto]]="",0,YEAR(TbRegistroEntradas[[#This Row],[Data do Caixa Previsto]]))</f>
        <v>2019</v>
      </c>
      <c r="O231" t="str">
        <f ca="1">IF(AND(TbRegistroEntradas[[#This Row],[Data do Caixa Previsto]]&lt;TODAY(),TbRegistroEntradas[[#This Row],[Data do Caixa Realizado]]=""),"Vencida","Não Vencida")</f>
        <v>Não Vencida</v>
      </c>
      <c r="P231" t="str">
        <f>IF(TbRegistroEntradas[[#This Row],[Data da Competência]]=TbRegistroEntradas[[#This Row],[Data do Caixa Previsto]],"Vista","Prazo")</f>
        <v>Prazo</v>
      </c>
      <c r="Q231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  <row r="232" spans="2:17" x14ac:dyDescent="0.25">
      <c r="B232" s="8">
        <v>43702</v>
      </c>
      <c r="C232" s="8">
        <v>43641</v>
      </c>
      <c r="D232" s="8">
        <v>43645</v>
      </c>
      <c r="E232" t="s">
        <v>23</v>
      </c>
      <c r="F232" t="s">
        <v>31</v>
      </c>
      <c r="G232" t="s">
        <v>286</v>
      </c>
      <c r="H232" s="9">
        <v>450</v>
      </c>
      <c r="I232">
        <f>IF(TbRegistroEntradas[[#This Row],[Data do Caixa Realizado]]="",0,MONTH(TbRegistroEntradas[[#This Row],[Data do Caixa Realizado]]))</f>
        <v>8</v>
      </c>
      <c r="J232">
        <f>IF(TbRegistroEntradas[[#This Row],[Data do Caixa Realizado]]="",0,YEAR(TbRegistroEntradas[[#This Row],[Data do Caixa Realizado]]))</f>
        <v>2019</v>
      </c>
      <c r="K232">
        <f>IF(TbRegistroEntradas[[#This Row],[Data da Competência]]="",0,MONTH(TbRegistroEntradas[[#This Row],[Data da Competência]]))</f>
        <v>6</v>
      </c>
      <c r="L232">
        <f>IF(TbRegistroEntradas[[#This Row],[Data da Competência]]="",0,YEAR(TbRegistroEntradas[[#This Row],[Data da Competência]]))</f>
        <v>2019</v>
      </c>
      <c r="M232">
        <f>IF(TbRegistroEntradas[[#This Row],[Data do Caixa Previsto]]="",0,MONTH(TbRegistroEntradas[[#This Row],[Data do Caixa Previsto]]))</f>
        <v>6</v>
      </c>
      <c r="N232">
        <f>IF(TbRegistroEntradas[[#This Row],[Data do Caixa Previsto]]="",0,YEAR(TbRegistroEntradas[[#This Row],[Data do Caixa Previsto]]))</f>
        <v>2019</v>
      </c>
      <c r="O232" t="str">
        <f ca="1">IF(AND(TbRegistroEntradas[[#This Row],[Data do Caixa Previsto]]&lt;TODAY(),TbRegistroEntradas[[#This Row],[Data do Caixa Realizado]]=""),"Vencida","Não Vencida")</f>
        <v>Não Vencida</v>
      </c>
      <c r="P232" t="str">
        <f>IF(TbRegistroEntradas[[#This Row],[Data da Competência]]=TbRegistroEntradas[[#This Row],[Data do Caixa Previsto]],"Vista","Prazo")</f>
        <v>Prazo</v>
      </c>
      <c r="Q232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57</v>
      </c>
    </row>
    <row r="233" spans="2:17" x14ac:dyDescent="0.25">
      <c r="B233" s="8">
        <v>43710</v>
      </c>
      <c r="C233" s="8">
        <v>43644</v>
      </c>
      <c r="D233" s="8">
        <v>43662</v>
      </c>
      <c r="E233" t="s">
        <v>23</v>
      </c>
      <c r="F233" t="s">
        <v>34</v>
      </c>
      <c r="G233" t="s">
        <v>287</v>
      </c>
      <c r="H233" s="9">
        <v>1479</v>
      </c>
      <c r="I233">
        <f>IF(TbRegistroEntradas[[#This Row],[Data do Caixa Realizado]]="",0,MONTH(TbRegistroEntradas[[#This Row],[Data do Caixa Realizado]]))</f>
        <v>9</v>
      </c>
      <c r="J233">
        <f>IF(TbRegistroEntradas[[#This Row],[Data do Caixa Realizado]]="",0,YEAR(TbRegistroEntradas[[#This Row],[Data do Caixa Realizado]]))</f>
        <v>2019</v>
      </c>
      <c r="K233">
        <f>IF(TbRegistroEntradas[[#This Row],[Data da Competência]]="",0,MONTH(TbRegistroEntradas[[#This Row],[Data da Competência]]))</f>
        <v>6</v>
      </c>
      <c r="L233">
        <f>IF(TbRegistroEntradas[[#This Row],[Data da Competência]]="",0,YEAR(TbRegistroEntradas[[#This Row],[Data da Competência]]))</f>
        <v>2019</v>
      </c>
      <c r="M233">
        <f>IF(TbRegistroEntradas[[#This Row],[Data do Caixa Previsto]]="",0,MONTH(TbRegistroEntradas[[#This Row],[Data do Caixa Previsto]]))</f>
        <v>7</v>
      </c>
      <c r="N233">
        <f>IF(TbRegistroEntradas[[#This Row],[Data do Caixa Previsto]]="",0,YEAR(TbRegistroEntradas[[#This Row],[Data do Caixa Previsto]]))</f>
        <v>2019</v>
      </c>
      <c r="O233" t="str">
        <f ca="1">IF(AND(TbRegistroEntradas[[#This Row],[Data do Caixa Previsto]]&lt;TODAY(),TbRegistroEntradas[[#This Row],[Data do Caixa Realizado]]=""),"Vencida","Não Vencida")</f>
        <v>Não Vencida</v>
      </c>
      <c r="P233" t="str">
        <f>IF(TbRegistroEntradas[[#This Row],[Data da Competência]]=TbRegistroEntradas[[#This Row],[Data do Caixa Previsto]],"Vista","Prazo")</f>
        <v>Prazo</v>
      </c>
      <c r="Q233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48</v>
      </c>
    </row>
    <row r="234" spans="2:17" x14ac:dyDescent="0.25">
      <c r="B234" s="8">
        <v>43647</v>
      </c>
      <c r="C234" s="8">
        <v>43645</v>
      </c>
      <c r="D234" s="8">
        <v>43647</v>
      </c>
      <c r="E234" t="s">
        <v>23</v>
      </c>
      <c r="F234" t="s">
        <v>34</v>
      </c>
      <c r="G234" t="s">
        <v>288</v>
      </c>
      <c r="H234" s="9">
        <v>3446</v>
      </c>
      <c r="I234">
        <f>IF(TbRegistroEntradas[[#This Row],[Data do Caixa Realizado]]="",0,MONTH(TbRegistroEntradas[[#This Row],[Data do Caixa Realizado]]))</f>
        <v>7</v>
      </c>
      <c r="J234">
        <f>IF(TbRegistroEntradas[[#This Row],[Data do Caixa Realizado]]="",0,YEAR(TbRegistroEntradas[[#This Row],[Data do Caixa Realizado]]))</f>
        <v>2019</v>
      </c>
      <c r="K234">
        <f>IF(TbRegistroEntradas[[#This Row],[Data da Competência]]="",0,MONTH(TbRegistroEntradas[[#This Row],[Data da Competência]]))</f>
        <v>6</v>
      </c>
      <c r="L234">
        <f>IF(TbRegistroEntradas[[#This Row],[Data da Competência]]="",0,YEAR(TbRegistroEntradas[[#This Row],[Data da Competência]]))</f>
        <v>2019</v>
      </c>
      <c r="M234">
        <f>IF(TbRegistroEntradas[[#This Row],[Data do Caixa Previsto]]="",0,MONTH(TbRegistroEntradas[[#This Row],[Data do Caixa Previsto]]))</f>
        <v>7</v>
      </c>
      <c r="N234">
        <f>IF(TbRegistroEntradas[[#This Row],[Data do Caixa Previsto]]="",0,YEAR(TbRegistroEntradas[[#This Row],[Data do Caixa Previsto]]))</f>
        <v>2019</v>
      </c>
      <c r="O234" t="str">
        <f ca="1">IF(AND(TbRegistroEntradas[[#This Row],[Data do Caixa Previsto]]&lt;TODAY(),TbRegistroEntradas[[#This Row],[Data do Caixa Realizado]]=""),"Vencida","Não Vencida")</f>
        <v>Não Vencida</v>
      </c>
      <c r="P234" t="str">
        <f>IF(TbRegistroEntradas[[#This Row],[Data da Competência]]=TbRegistroEntradas[[#This Row],[Data do Caixa Previsto]],"Vista","Prazo")</f>
        <v>Prazo</v>
      </c>
      <c r="Q234">
        <f ca="1">IF(TbRegistroEntradas[[#This Row],[Data do Caixa Realizado]]&lt;&gt;"",
    IF(TbRegistroEntradas[[#This Row],[Data do Caixa Realizado]]&gt;TbRegistroEntradas[[#This Row],[Data do Caixa Previsto]],
        TbRegistroEntradas[[#This Row],[Data do Caixa Realizado]]-TbRegistroEntradas[[#This Row],[Data do Caixa Previsto]],
        0
    ),
    IF(TODAY()&gt;TbRegistroEntradas[[#This Row],[Data do Caixa Previsto]],
        TODAY()-TbRegistroEntradas[[#This Row],[Data do Caixa Previsto]],
        0
    )
)</f>
        <v>0</v>
      </c>
    </row>
  </sheetData>
  <dataValidations count="2">
    <dataValidation type="list" allowBlank="1" showInputMessage="1" showErrorMessage="1" sqref="E4:E234" xr:uid="{00000000-0002-0000-0600-000000000000}">
      <formula1>PCEntradasN1_Nível_1</formula1>
    </dataValidation>
    <dataValidation type="list" allowBlank="1" showInputMessage="1" showErrorMessage="1" sqref="F4:F234" xr:uid="{00000000-0002-0000-0600-000001000000}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232"/>
  <sheetViews>
    <sheetView showGridLines="0" workbookViewId="0">
      <pane ySplit="3" topLeftCell="A4" activePane="bottomLeft" state="frozen"/>
      <selection activeCell="B4" sqref="B4"/>
      <selection pane="bottomLeft" activeCell="B1" sqref="B1"/>
    </sheetView>
  </sheetViews>
  <sheetFormatPr defaultColWidth="0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hidden="1" customWidth="1"/>
    <col min="10" max="10" width="10.28515625" hidden="1" customWidth="1"/>
    <col min="11" max="11" width="13.5703125" hidden="1" customWidth="1"/>
    <col min="12" max="12" width="13.42578125" hidden="1" customWidth="1"/>
    <col min="13" max="16384" width="9.140625" hidden="1"/>
  </cols>
  <sheetData>
    <row r="1" spans="1:15" ht="39.950000000000003" customHeight="1" x14ac:dyDescent="0.25">
      <c r="A1" t="s">
        <v>6</v>
      </c>
      <c r="B1" s="3" t="s">
        <v>609</v>
      </c>
      <c r="C1" s="1"/>
      <c r="D1" s="1"/>
      <c r="E1" s="1"/>
      <c r="F1" s="1"/>
      <c r="G1" s="1"/>
      <c r="H1" s="2" t="s">
        <v>12</v>
      </c>
    </row>
    <row r="2" spans="1:15" ht="39.950000000000003" customHeight="1" x14ac:dyDescent="0.25">
      <c r="B2" s="5"/>
      <c r="C2" s="5"/>
      <c r="D2" s="5"/>
      <c r="E2" s="5"/>
      <c r="F2" s="5"/>
      <c r="G2" s="5"/>
      <c r="H2" s="5"/>
    </row>
    <row r="3" spans="1:15" ht="45" customHeight="1" thickBot="1" x14ac:dyDescent="0.3">
      <c r="B3" s="13" t="s">
        <v>51</v>
      </c>
      <c r="C3" s="13" t="s">
        <v>52</v>
      </c>
      <c r="D3" s="13" t="s">
        <v>53</v>
      </c>
      <c r="E3" s="13" t="s">
        <v>54</v>
      </c>
      <c r="F3" s="13" t="s">
        <v>55</v>
      </c>
      <c r="G3" s="13" t="s">
        <v>56</v>
      </c>
      <c r="H3" s="14" t="s">
        <v>57</v>
      </c>
      <c r="I3" s="13" t="s">
        <v>537</v>
      </c>
      <c r="J3" s="13" t="s">
        <v>538</v>
      </c>
      <c r="K3" s="13" t="s">
        <v>539</v>
      </c>
      <c r="L3" s="13" t="s">
        <v>540</v>
      </c>
      <c r="M3" s="13" t="s">
        <v>546</v>
      </c>
      <c r="N3" s="13" t="s">
        <v>545</v>
      </c>
      <c r="O3" s="13" t="s">
        <v>605</v>
      </c>
    </row>
    <row r="4" spans="1:15" ht="20.100000000000001" customHeight="1" x14ac:dyDescent="0.25">
      <c r="B4" s="8">
        <v>43015</v>
      </c>
      <c r="C4" s="8">
        <v>42957</v>
      </c>
      <c r="D4" s="8">
        <v>43015</v>
      </c>
      <c r="E4" t="s">
        <v>37</v>
      </c>
      <c r="F4" t="s">
        <v>35</v>
      </c>
      <c r="G4" t="s">
        <v>289</v>
      </c>
      <c r="H4" s="9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>
        <f>IF(TbRegistroSaídas[[#This Row],[Data do Caixa Previsto]]="",0,MONTH(TbRegistroSaídas[[#This Row],[Data do Caixa Previsto]]))</f>
        <v>10</v>
      </c>
      <c r="N4">
        <f>IF(TbRegistroSaídas[[#This Row],[Data do Caixa Previsto]]="",0,YEAR(TbRegistroSaídas[[#This Row],[Data do Caixa Previsto]]))</f>
        <v>2017</v>
      </c>
      <c r="O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" spans="1:15" ht="20.100000000000001" customHeight="1" x14ac:dyDescent="0.25">
      <c r="B5" s="8">
        <v>42995</v>
      </c>
      <c r="C5" s="8">
        <v>42960</v>
      </c>
      <c r="D5" s="8">
        <v>42995</v>
      </c>
      <c r="E5" t="s">
        <v>37</v>
      </c>
      <c r="F5" t="s">
        <v>44</v>
      </c>
      <c r="G5" t="s">
        <v>290</v>
      </c>
      <c r="H5" s="9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>
        <f>IF(TbRegistroSaídas[[#This Row],[Data do Caixa Previsto]]="",0,MONTH(TbRegistroSaídas[[#This Row],[Data do Caixa Previsto]]))</f>
        <v>9</v>
      </c>
      <c r="N5">
        <f>IF(TbRegistroSaídas[[#This Row],[Data do Caixa Previsto]]="",0,YEAR(TbRegistroSaídas[[#This Row],[Data do Caixa Previsto]]))</f>
        <v>2017</v>
      </c>
      <c r="O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" spans="1:15" ht="20.100000000000001" customHeight="1" x14ac:dyDescent="0.25">
      <c r="B6" s="8">
        <v>42983</v>
      </c>
      <c r="C6" s="8">
        <v>42965</v>
      </c>
      <c r="D6" s="8">
        <v>42983</v>
      </c>
      <c r="E6" t="s">
        <v>37</v>
      </c>
      <c r="F6" t="s">
        <v>35</v>
      </c>
      <c r="G6" t="s">
        <v>291</v>
      </c>
      <c r="H6" s="9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>
        <f>IF(TbRegistroSaídas[[#This Row],[Data do Caixa Previsto]]="",0,MONTH(TbRegistroSaídas[[#This Row],[Data do Caixa Previsto]]))</f>
        <v>9</v>
      </c>
      <c r="N6">
        <f>IF(TbRegistroSaídas[[#This Row],[Data do Caixa Previsto]]="",0,YEAR(TbRegistroSaídas[[#This Row],[Data do Caixa Previsto]]))</f>
        <v>2017</v>
      </c>
      <c r="O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" spans="1:15" ht="20.100000000000001" customHeight="1" x14ac:dyDescent="0.25">
      <c r="B7" s="8">
        <v>43004</v>
      </c>
      <c r="C7" s="8">
        <v>42970</v>
      </c>
      <c r="D7" s="8">
        <v>43004</v>
      </c>
      <c r="E7" t="s">
        <v>37</v>
      </c>
      <c r="F7" t="s">
        <v>35</v>
      </c>
      <c r="G7" t="s">
        <v>292</v>
      </c>
      <c r="H7" s="9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>
        <f>IF(TbRegistroSaídas[[#This Row],[Data do Caixa Previsto]]="",0,MONTH(TbRegistroSaídas[[#This Row],[Data do Caixa Previsto]]))</f>
        <v>9</v>
      </c>
      <c r="N7">
        <f>IF(TbRegistroSaídas[[#This Row],[Data do Caixa Previsto]]="",0,YEAR(TbRegistroSaídas[[#This Row],[Data do Caixa Previsto]]))</f>
        <v>2017</v>
      </c>
      <c r="O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" spans="1:15" ht="20.100000000000001" customHeight="1" x14ac:dyDescent="0.25">
      <c r="B8" s="8">
        <v>43002</v>
      </c>
      <c r="C8" s="8">
        <v>42971</v>
      </c>
      <c r="D8" s="8">
        <v>43002</v>
      </c>
      <c r="E8" t="s">
        <v>37</v>
      </c>
      <c r="F8" t="s">
        <v>44</v>
      </c>
      <c r="G8" t="s">
        <v>293</v>
      </c>
      <c r="H8" s="9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>
        <f>IF(TbRegistroSaídas[[#This Row],[Data do Caixa Previsto]]="",0,MONTH(TbRegistroSaídas[[#This Row],[Data do Caixa Previsto]]))</f>
        <v>9</v>
      </c>
      <c r="N8">
        <f>IF(TbRegistroSaídas[[#This Row],[Data do Caixa Previsto]]="",0,YEAR(TbRegistroSaídas[[#This Row],[Data do Caixa Previsto]]))</f>
        <v>2017</v>
      </c>
      <c r="O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" spans="1:15" ht="20.100000000000001" customHeight="1" x14ac:dyDescent="0.25">
      <c r="B9" s="8">
        <v>42980</v>
      </c>
      <c r="C9" s="8">
        <v>42972</v>
      </c>
      <c r="D9" s="8">
        <v>42980</v>
      </c>
      <c r="E9" t="s">
        <v>37</v>
      </c>
      <c r="F9" t="s">
        <v>32</v>
      </c>
      <c r="G9" t="s">
        <v>294</v>
      </c>
      <c r="H9" s="9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>
        <f>IF(TbRegistroSaídas[[#This Row],[Data do Caixa Previsto]]="",0,MONTH(TbRegistroSaídas[[#This Row],[Data do Caixa Previsto]]))</f>
        <v>9</v>
      </c>
      <c r="N9">
        <f>IF(TbRegistroSaídas[[#This Row],[Data do Caixa Previsto]]="",0,YEAR(TbRegistroSaídas[[#This Row],[Data do Caixa Previsto]]))</f>
        <v>2017</v>
      </c>
      <c r="O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" spans="1:15" ht="20.100000000000001" customHeight="1" x14ac:dyDescent="0.25">
      <c r="B10" s="8">
        <v>43014</v>
      </c>
      <c r="C10" s="8">
        <v>42976</v>
      </c>
      <c r="D10" s="8">
        <v>43014</v>
      </c>
      <c r="E10" t="s">
        <v>37</v>
      </c>
      <c r="F10" t="s">
        <v>44</v>
      </c>
      <c r="G10" t="s">
        <v>295</v>
      </c>
      <c r="H10" s="9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>
        <f>IF(TbRegistroSaídas[[#This Row],[Data do Caixa Previsto]]="",0,MONTH(TbRegistroSaídas[[#This Row],[Data do Caixa Previsto]]))</f>
        <v>10</v>
      </c>
      <c r="N10">
        <f>IF(TbRegistroSaídas[[#This Row],[Data do Caixa Previsto]]="",0,YEAR(TbRegistroSaídas[[#This Row],[Data do Caixa Previsto]]))</f>
        <v>2017</v>
      </c>
      <c r="O1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" spans="1:15" ht="20.100000000000001" customHeight="1" x14ac:dyDescent="0.25">
      <c r="B11" s="8">
        <v>42990</v>
      </c>
      <c r="C11" s="8">
        <v>42979</v>
      </c>
      <c r="D11" s="8">
        <v>42980</v>
      </c>
      <c r="E11" t="s">
        <v>37</v>
      </c>
      <c r="F11" t="s">
        <v>44</v>
      </c>
      <c r="G11" t="s">
        <v>115</v>
      </c>
      <c r="H11" s="9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>
        <f>IF(TbRegistroSaídas[[#This Row],[Data do Caixa Previsto]]="",0,MONTH(TbRegistroSaídas[[#This Row],[Data do Caixa Previsto]]))</f>
        <v>9</v>
      </c>
      <c r="N11">
        <f>IF(TbRegistroSaídas[[#This Row],[Data do Caixa Previsto]]="",0,YEAR(TbRegistroSaídas[[#This Row],[Data do Caixa Previsto]]))</f>
        <v>2017</v>
      </c>
      <c r="O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</v>
      </c>
    </row>
    <row r="12" spans="1:15" ht="20.100000000000001" customHeight="1" x14ac:dyDescent="0.25">
      <c r="B12" s="8">
        <v>42987</v>
      </c>
      <c r="C12" s="8">
        <v>42982</v>
      </c>
      <c r="D12" s="8">
        <v>42987</v>
      </c>
      <c r="E12" t="s">
        <v>37</v>
      </c>
      <c r="F12" t="s">
        <v>35</v>
      </c>
      <c r="G12" t="s">
        <v>296</v>
      </c>
      <c r="H12" s="9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>
        <f>IF(TbRegistroSaídas[[#This Row],[Data do Caixa Previsto]]="",0,MONTH(TbRegistroSaídas[[#This Row],[Data do Caixa Previsto]]))</f>
        <v>9</v>
      </c>
      <c r="N12">
        <f>IF(TbRegistroSaídas[[#This Row],[Data do Caixa Previsto]]="",0,YEAR(TbRegistroSaídas[[#This Row],[Data do Caixa Previsto]]))</f>
        <v>2017</v>
      </c>
      <c r="O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" spans="1:15" ht="20.100000000000001" customHeight="1" x14ac:dyDescent="0.25">
      <c r="B13" s="8" t="s">
        <v>68</v>
      </c>
      <c r="C13" s="8">
        <v>42984</v>
      </c>
      <c r="D13" s="8">
        <v>42984</v>
      </c>
      <c r="E13" t="s">
        <v>37</v>
      </c>
      <c r="F13" t="s">
        <v>32</v>
      </c>
      <c r="G13" t="s">
        <v>297</v>
      </c>
      <c r="H13" s="9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>
        <f>IF(TbRegistroSaídas[[#This Row],[Data do Caixa Previsto]]="",0,MONTH(TbRegistroSaídas[[#This Row],[Data do Caixa Previsto]]))</f>
        <v>9</v>
      </c>
      <c r="N13">
        <f>IF(TbRegistroSaídas[[#This Row],[Data do Caixa Previsto]]="",0,YEAR(TbRegistroSaídas[[#This Row],[Data do Caixa Previsto]]))</f>
        <v>2017</v>
      </c>
      <c r="O1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1931</v>
      </c>
    </row>
    <row r="14" spans="1:15" ht="20.100000000000001" customHeight="1" x14ac:dyDescent="0.25">
      <c r="B14" s="8" t="s">
        <v>68</v>
      </c>
      <c r="C14" s="8">
        <v>42990</v>
      </c>
      <c r="D14" s="8">
        <v>43020</v>
      </c>
      <c r="E14" t="s">
        <v>37</v>
      </c>
      <c r="F14" t="s">
        <v>33</v>
      </c>
      <c r="G14" t="s">
        <v>298</v>
      </c>
      <c r="H14" s="9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>
        <f>IF(TbRegistroSaídas[[#This Row],[Data do Caixa Previsto]]="",0,MONTH(TbRegistroSaídas[[#This Row],[Data do Caixa Previsto]]))</f>
        <v>10</v>
      </c>
      <c r="N14">
        <f>IF(TbRegistroSaídas[[#This Row],[Data do Caixa Previsto]]="",0,YEAR(TbRegistroSaídas[[#This Row],[Data do Caixa Previsto]]))</f>
        <v>2017</v>
      </c>
      <c r="O1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1895</v>
      </c>
    </row>
    <row r="15" spans="1:15" ht="20.100000000000001" customHeight="1" x14ac:dyDescent="0.25">
      <c r="B15" s="8">
        <v>42991</v>
      </c>
      <c r="C15" s="8">
        <v>42991</v>
      </c>
      <c r="D15" s="8">
        <v>42991</v>
      </c>
      <c r="E15" t="s">
        <v>37</v>
      </c>
      <c r="F15" t="s">
        <v>33</v>
      </c>
      <c r="G15" t="s">
        <v>299</v>
      </c>
      <c r="H15" s="9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>
        <f>IF(TbRegistroSaídas[[#This Row],[Data do Caixa Previsto]]="",0,MONTH(TbRegistroSaídas[[#This Row],[Data do Caixa Previsto]]))</f>
        <v>9</v>
      </c>
      <c r="N15">
        <f>IF(TbRegistroSaídas[[#This Row],[Data do Caixa Previsto]]="",0,YEAR(TbRegistroSaídas[[#This Row],[Data do Caixa Previsto]]))</f>
        <v>2017</v>
      </c>
      <c r="O1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" spans="1:15" ht="20.100000000000001" customHeight="1" x14ac:dyDescent="0.25">
      <c r="B16" s="8">
        <v>42992</v>
      </c>
      <c r="C16" s="8">
        <v>42992</v>
      </c>
      <c r="D16" s="8">
        <v>42992</v>
      </c>
      <c r="E16" t="s">
        <v>37</v>
      </c>
      <c r="F16" t="s">
        <v>35</v>
      </c>
      <c r="G16" t="s">
        <v>300</v>
      </c>
      <c r="H16" s="9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>
        <f>IF(TbRegistroSaídas[[#This Row],[Data do Caixa Previsto]]="",0,MONTH(TbRegistroSaídas[[#This Row],[Data do Caixa Previsto]]))</f>
        <v>9</v>
      </c>
      <c r="N16">
        <f>IF(TbRegistroSaídas[[#This Row],[Data do Caixa Previsto]]="",0,YEAR(TbRegistroSaídas[[#This Row],[Data do Caixa Previsto]]))</f>
        <v>2017</v>
      </c>
      <c r="O1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" spans="2:15" ht="20.100000000000001" customHeight="1" x14ac:dyDescent="0.25">
      <c r="B17" s="8">
        <v>43004</v>
      </c>
      <c r="C17" s="8">
        <v>42997</v>
      </c>
      <c r="D17" s="8">
        <v>43004</v>
      </c>
      <c r="E17" t="s">
        <v>37</v>
      </c>
      <c r="F17" t="s">
        <v>44</v>
      </c>
      <c r="G17" t="s">
        <v>301</v>
      </c>
      <c r="H17" s="9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>
        <f>IF(TbRegistroSaídas[[#This Row],[Data do Caixa Previsto]]="",0,MONTH(TbRegistroSaídas[[#This Row],[Data do Caixa Previsto]]))</f>
        <v>9</v>
      </c>
      <c r="N17">
        <f>IF(TbRegistroSaídas[[#This Row],[Data do Caixa Previsto]]="",0,YEAR(TbRegistroSaídas[[#This Row],[Data do Caixa Previsto]]))</f>
        <v>2017</v>
      </c>
      <c r="O1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" spans="2:15" x14ac:dyDescent="0.25">
      <c r="B18" s="8">
        <v>43043</v>
      </c>
      <c r="C18" s="8">
        <v>43002</v>
      </c>
      <c r="D18" s="8">
        <v>43043</v>
      </c>
      <c r="E18" t="s">
        <v>37</v>
      </c>
      <c r="F18" t="s">
        <v>33</v>
      </c>
      <c r="G18" t="s">
        <v>302</v>
      </c>
      <c r="H18" s="9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>
        <f>IF(TbRegistroSaídas[[#This Row],[Data do Caixa Previsto]]="",0,MONTH(TbRegistroSaídas[[#This Row],[Data do Caixa Previsto]]))</f>
        <v>11</v>
      </c>
      <c r="N18">
        <f>IF(TbRegistroSaídas[[#This Row],[Data do Caixa Previsto]]="",0,YEAR(TbRegistroSaídas[[#This Row],[Data do Caixa Previsto]]))</f>
        <v>2017</v>
      </c>
      <c r="O1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" spans="2:15" x14ac:dyDescent="0.25">
      <c r="B19" s="8" t="s">
        <v>68</v>
      </c>
      <c r="C19" s="8">
        <v>43003</v>
      </c>
      <c r="D19" s="8">
        <v>43015</v>
      </c>
      <c r="E19" t="s">
        <v>37</v>
      </c>
      <c r="F19" t="s">
        <v>44</v>
      </c>
      <c r="G19" t="s">
        <v>303</v>
      </c>
      <c r="H19" s="9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>
        <f>IF(TbRegistroSaídas[[#This Row],[Data do Caixa Previsto]]="",0,MONTH(TbRegistroSaídas[[#This Row],[Data do Caixa Previsto]]))</f>
        <v>10</v>
      </c>
      <c r="N19">
        <f>IF(TbRegistroSaídas[[#This Row],[Data do Caixa Previsto]]="",0,YEAR(TbRegistroSaídas[[#This Row],[Data do Caixa Previsto]]))</f>
        <v>2017</v>
      </c>
      <c r="O1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1900</v>
      </c>
    </row>
    <row r="20" spans="2:15" x14ac:dyDescent="0.25">
      <c r="B20" s="8">
        <v>43010</v>
      </c>
      <c r="C20" s="8">
        <v>43003</v>
      </c>
      <c r="D20" s="8">
        <v>43010</v>
      </c>
      <c r="E20" t="s">
        <v>37</v>
      </c>
      <c r="F20" t="s">
        <v>32</v>
      </c>
      <c r="G20" t="s">
        <v>304</v>
      </c>
      <c r="H20" s="9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>
        <f>IF(TbRegistroSaídas[[#This Row],[Data do Caixa Previsto]]="",0,MONTH(TbRegistroSaídas[[#This Row],[Data do Caixa Previsto]]))</f>
        <v>10</v>
      </c>
      <c r="N20">
        <f>IF(TbRegistroSaídas[[#This Row],[Data do Caixa Previsto]]="",0,YEAR(TbRegistroSaídas[[#This Row],[Data do Caixa Previsto]]))</f>
        <v>2017</v>
      </c>
      <c r="O2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" spans="2:15" x14ac:dyDescent="0.25">
      <c r="B21" s="8">
        <v>43042</v>
      </c>
      <c r="C21" s="8">
        <v>43006</v>
      </c>
      <c r="D21" s="8">
        <v>43042</v>
      </c>
      <c r="E21" t="s">
        <v>37</v>
      </c>
      <c r="F21" t="s">
        <v>32</v>
      </c>
      <c r="G21" t="s">
        <v>305</v>
      </c>
      <c r="H21" s="9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>
        <f>IF(TbRegistroSaídas[[#This Row],[Data do Caixa Previsto]]="",0,MONTH(TbRegistroSaídas[[#This Row],[Data do Caixa Previsto]]))</f>
        <v>11</v>
      </c>
      <c r="N21">
        <f>IF(TbRegistroSaídas[[#This Row],[Data do Caixa Previsto]]="",0,YEAR(TbRegistroSaídas[[#This Row],[Data do Caixa Previsto]]))</f>
        <v>2017</v>
      </c>
      <c r="O2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" spans="2:15" x14ac:dyDescent="0.25">
      <c r="B22" s="8">
        <v>43009</v>
      </c>
      <c r="C22" s="8">
        <v>43009</v>
      </c>
      <c r="D22" s="8">
        <v>43009</v>
      </c>
      <c r="E22" t="s">
        <v>37</v>
      </c>
      <c r="F22" t="s">
        <v>44</v>
      </c>
      <c r="G22" t="s">
        <v>306</v>
      </c>
      <c r="H22" s="9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>
        <f>IF(TbRegistroSaídas[[#This Row],[Data do Caixa Previsto]]="",0,MONTH(TbRegistroSaídas[[#This Row],[Data do Caixa Previsto]]))</f>
        <v>10</v>
      </c>
      <c r="N22">
        <f>IF(TbRegistroSaídas[[#This Row],[Data do Caixa Previsto]]="",0,YEAR(TbRegistroSaídas[[#This Row],[Data do Caixa Previsto]]))</f>
        <v>2017</v>
      </c>
      <c r="O2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" spans="2:15" x14ac:dyDescent="0.25">
      <c r="B23" s="8">
        <v>43030</v>
      </c>
      <c r="C23" s="8">
        <v>43012</v>
      </c>
      <c r="D23" s="8">
        <v>43030</v>
      </c>
      <c r="E23" t="s">
        <v>37</v>
      </c>
      <c r="F23" t="s">
        <v>33</v>
      </c>
      <c r="G23" t="s">
        <v>307</v>
      </c>
      <c r="H23" s="9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>
        <f>IF(TbRegistroSaídas[[#This Row],[Data do Caixa Previsto]]="",0,MONTH(TbRegistroSaídas[[#This Row],[Data do Caixa Previsto]]))</f>
        <v>10</v>
      </c>
      <c r="N23">
        <f>IF(TbRegistroSaídas[[#This Row],[Data do Caixa Previsto]]="",0,YEAR(TbRegistroSaídas[[#This Row],[Data do Caixa Previsto]]))</f>
        <v>2017</v>
      </c>
      <c r="O2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4" spans="2:15" x14ac:dyDescent="0.25">
      <c r="B24" s="8">
        <v>43031</v>
      </c>
      <c r="C24" s="8">
        <v>43014</v>
      </c>
      <c r="D24" s="8">
        <v>43031</v>
      </c>
      <c r="E24" t="s">
        <v>37</v>
      </c>
      <c r="F24" t="s">
        <v>33</v>
      </c>
      <c r="G24" t="s">
        <v>308</v>
      </c>
      <c r="H24" s="9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>
        <f>IF(TbRegistroSaídas[[#This Row],[Data do Caixa Previsto]]="",0,MONTH(TbRegistroSaídas[[#This Row],[Data do Caixa Previsto]]))</f>
        <v>10</v>
      </c>
      <c r="N24">
        <f>IF(TbRegistroSaídas[[#This Row],[Data do Caixa Previsto]]="",0,YEAR(TbRegistroSaídas[[#This Row],[Data do Caixa Previsto]]))</f>
        <v>2017</v>
      </c>
      <c r="O2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5" spans="2:15" x14ac:dyDescent="0.25">
      <c r="B25" s="8">
        <v>43046</v>
      </c>
      <c r="C25" s="8">
        <v>43017</v>
      </c>
      <c r="D25" s="8">
        <v>43046</v>
      </c>
      <c r="E25" t="s">
        <v>37</v>
      </c>
      <c r="F25" t="s">
        <v>31</v>
      </c>
      <c r="G25" t="s">
        <v>309</v>
      </c>
      <c r="H25" s="9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>
        <f>IF(TbRegistroSaídas[[#This Row],[Data do Caixa Previsto]]="",0,MONTH(TbRegistroSaídas[[#This Row],[Data do Caixa Previsto]]))</f>
        <v>11</v>
      </c>
      <c r="N25">
        <f>IF(TbRegistroSaídas[[#This Row],[Data do Caixa Previsto]]="",0,YEAR(TbRegistroSaídas[[#This Row],[Data do Caixa Previsto]]))</f>
        <v>2017</v>
      </c>
      <c r="O2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6" spans="2:15" x14ac:dyDescent="0.25">
      <c r="B26" s="8">
        <v>43022</v>
      </c>
      <c r="C26" s="8">
        <v>43022</v>
      </c>
      <c r="D26" s="8">
        <v>43022</v>
      </c>
      <c r="E26" t="s">
        <v>37</v>
      </c>
      <c r="F26" t="s">
        <v>44</v>
      </c>
      <c r="G26" t="s">
        <v>310</v>
      </c>
      <c r="H26" s="9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>
        <f>IF(TbRegistroSaídas[[#This Row],[Data do Caixa Previsto]]="",0,MONTH(TbRegistroSaídas[[#This Row],[Data do Caixa Previsto]]))</f>
        <v>10</v>
      </c>
      <c r="N26">
        <f>IF(TbRegistroSaídas[[#This Row],[Data do Caixa Previsto]]="",0,YEAR(TbRegistroSaídas[[#This Row],[Data do Caixa Previsto]]))</f>
        <v>2017</v>
      </c>
      <c r="O2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7" spans="2:15" x14ac:dyDescent="0.25">
      <c r="B27" s="8">
        <v>43031</v>
      </c>
      <c r="C27" s="8">
        <v>43024</v>
      </c>
      <c r="D27" s="8">
        <v>43031</v>
      </c>
      <c r="E27" t="s">
        <v>37</v>
      </c>
      <c r="F27" t="s">
        <v>44</v>
      </c>
      <c r="G27" t="s">
        <v>311</v>
      </c>
      <c r="H27" s="9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>
        <f>IF(TbRegistroSaídas[[#This Row],[Data do Caixa Previsto]]="",0,MONTH(TbRegistroSaídas[[#This Row],[Data do Caixa Previsto]]))</f>
        <v>10</v>
      </c>
      <c r="N27">
        <f>IF(TbRegistroSaídas[[#This Row],[Data do Caixa Previsto]]="",0,YEAR(TbRegistroSaídas[[#This Row],[Data do Caixa Previsto]]))</f>
        <v>2017</v>
      </c>
      <c r="O2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8" spans="2:15" x14ac:dyDescent="0.25">
      <c r="B28" s="8">
        <v>43026</v>
      </c>
      <c r="C28" s="8">
        <v>43026</v>
      </c>
      <c r="D28" s="8">
        <v>43026</v>
      </c>
      <c r="E28" t="s">
        <v>37</v>
      </c>
      <c r="F28" t="s">
        <v>44</v>
      </c>
      <c r="G28" t="s">
        <v>312</v>
      </c>
      <c r="H28" s="9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>
        <f>IF(TbRegistroSaídas[[#This Row],[Data do Caixa Previsto]]="",0,MONTH(TbRegistroSaídas[[#This Row],[Data do Caixa Previsto]]))</f>
        <v>10</v>
      </c>
      <c r="N28">
        <f>IF(TbRegistroSaídas[[#This Row],[Data do Caixa Previsto]]="",0,YEAR(TbRegistroSaídas[[#This Row],[Data do Caixa Previsto]]))</f>
        <v>2017</v>
      </c>
      <c r="O2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9" spans="2:15" x14ac:dyDescent="0.25">
      <c r="B29" s="8">
        <v>43065</v>
      </c>
      <c r="C29" s="8">
        <v>43032</v>
      </c>
      <c r="D29" s="8">
        <v>43037</v>
      </c>
      <c r="E29" t="s">
        <v>37</v>
      </c>
      <c r="F29" t="s">
        <v>32</v>
      </c>
      <c r="G29" t="s">
        <v>313</v>
      </c>
      <c r="H29" s="9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>
        <f>IF(TbRegistroSaídas[[#This Row],[Data do Caixa Previsto]]="",0,MONTH(TbRegistroSaídas[[#This Row],[Data do Caixa Previsto]]))</f>
        <v>10</v>
      </c>
      <c r="N29">
        <f>IF(TbRegistroSaídas[[#This Row],[Data do Caixa Previsto]]="",0,YEAR(TbRegistroSaídas[[#This Row],[Data do Caixa Previsto]]))</f>
        <v>2017</v>
      </c>
      <c r="O2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28</v>
      </c>
    </row>
    <row r="30" spans="2:15" x14ac:dyDescent="0.25">
      <c r="B30" s="8">
        <v>43071</v>
      </c>
      <c r="C30" s="8">
        <v>43037</v>
      </c>
      <c r="D30" s="8">
        <v>43068</v>
      </c>
      <c r="E30" t="s">
        <v>37</v>
      </c>
      <c r="F30" t="s">
        <v>31</v>
      </c>
      <c r="G30" t="s">
        <v>314</v>
      </c>
      <c r="H30" s="9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>
        <f>IF(TbRegistroSaídas[[#This Row],[Data do Caixa Previsto]]="",0,MONTH(TbRegistroSaídas[[#This Row],[Data do Caixa Previsto]]))</f>
        <v>11</v>
      </c>
      <c r="N30">
        <f>IF(TbRegistroSaídas[[#This Row],[Data do Caixa Previsto]]="",0,YEAR(TbRegistroSaídas[[#This Row],[Data do Caixa Previsto]]))</f>
        <v>2017</v>
      </c>
      <c r="O3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</v>
      </c>
    </row>
    <row r="31" spans="2:15" x14ac:dyDescent="0.25">
      <c r="B31" s="8">
        <v>43089</v>
      </c>
      <c r="C31" s="8">
        <v>43042</v>
      </c>
      <c r="D31" s="8">
        <v>43089</v>
      </c>
      <c r="E31" t="s">
        <v>37</v>
      </c>
      <c r="F31" t="s">
        <v>33</v>
      </c>
      <c r="G31" t="s">
        <v>315</v>
      </c>
      <c r="H31" s="9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>
        <f>IF(TbRegistroSaídas[[#This Row],[Data do Caixa Previsto]]="",0,MONTH(TbRegistroSaídas[[#This Row],[Data do Caixa Previsto]]))</f>
        <v>12</v>
      </c>
      <c r="N31">
        <f>IF(TbRegistroSaídas[[#This Row],[Data do Caixa Previsto]]="",0,YEAR(TbRegistroSaídas[[#This Row],[Data do Caixa Previsto]]))</f>
        <v>2017</v>
      </c>
      <c r="O3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2" spans="2:15" x14ac:dyDescent="0.25">
      <c r="B32" s="8">
        <v>43044</v>
      </c>
      <c r="C32" s="8">
        <v>43044</v>
      </c>
      <c r="D32" s="8">
        <v>43044</v>
      </c>
      <c r="E32" t="s">
        <v>37</v>
      </c>
      <c r="F32" t="s">
        <v>44</v>
      </c>
      <c r="G32" t="s">
        <v>316</v>
      </c>
      <c r="H32" s="9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>
        <f>IF(TbRegistroSaídas[[#This Row],[Data do Caixa Previsto]]="",0,MONTH(TbRegistroSaídas[[#This Row],[Data do Caixa Previsto]]))</f>
        <v>11</v>
      </c>
      <c r="N32">
        <f>IF(TbRegistroSaídas[[#This Row],[Data do Caixa Previsto]]="",0,YEAR(TbRegistroSaídas[[#This Row],[Data do Caixa Previsto]]))</f>
        <v>2017</v>
      </c>
      <c r="O3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3" spans="2:15" x14ac:dyDescent="0.25">
      <c r="B33" s="8">
        <v>43047</v>
      </c>
      <c r="C33" s="8">
        <v>43047</v>
      </c>
      <c r="D33" s="8">
        <v>43047</v>
      </c>
      <c r="E33" t="s">
        <v>37</v>
      </c>
      <c r="F33" t="s">
        <v>35</v>
      </c>
      <c r="G33" t="s">
        <v>317</v>
      </c>
      <c r="H33" s="9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>
        <f>IF(TbRegistroSaídas[[#This Row],[Data do Caixa Previsto]]="",0,MONTH(TbRegistroSaídas[[#This Row],[Data do Caixa Previsto]]))</f>
        <v>11</v>
      </c>
      <c r="N33">
        <f>IF(TbRegistroSaídas[[#This Row],[Data do Caixa Previsto]]="",0,YEAR(TbRegistroSaídas[[#This Row],[Data do Caixa Previsto]]))</f>
        <v>2017</v>
      </c>
      <c r="O3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4" spans="2:15" x14ac:dyDescent="0.25">
      <c r="B34" s="8">
        <v>43087</v>
      </c>
      <c r="C34" s="8">
        <v>43051</v>
      </c>
      <c r="D34" s="8">
        <v>43087</v>
      </c>
      <c r="E34" t="s">
        <v>37</v>
      </c>
      <c r="F34" t="s">
        <v>44</v>
      </c>
      <c r="G34" t="s">
        <v>318</v>
      </c>
      <c r="H34" s="9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>
        <f>IF(TbRegistroSaídas[[#This Row],[Data do Caixa Previsto]]="",0,MONTH(TbRegistroSaídas[[#This Row],[Data do Caixa Previsto]]))</f>
        <v>12</v>
      </c>
      <c r="N34">
        <f>IF(TbRegistroSaídas[[#This Row],[Data do Caixa Previsto]]="",0,YEAR(TbRegistroSaídas[[#This Row],[Data do Caixa Previsto]]))</f>
        <v>2017</v>
      </c>
      <c r="O3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5" spans="2:15" x14ac:dyDescent="0.25">
      <c r="B35" s="8">
        <v>43095</v>
      </c>
      <c r="C35" s="8">
        <v>43054</v>
      </c>
      <c r="D35" s="8">
        <v>43095</v>
      </c>
      <c r="E35" t="s">
        <v>37</v>
      </c>
      <c r="F35" t="s">
        <v>33</v>
      </c>
      <c r="G35" t="s">
        <v>319</v>
      </c>
      <c r="H35" s="9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>
        <f>IF(TbRegistroSaídas[[#This Row],[Data do Caixa Previsto]]="",0,MONTH(TbRegistroSaídas[[#This Row],[Data do Caixa Previsto]]))</f>
        <v>12</v>
      </c>
      <c r="N35">
        <f>IF(TbRegistroSaídas[[#This Row],[Data do Caixa Previsto]]="",0,YEAR(TbRegistroSaídas[[#This Row],[Data do Caixa Previsto]]))</f>
        <v>2017</v>
      </c>
      <c r="O3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6" spans="2:15" x14ac:dyDescent="0.25">
      <c r="B36" s="8">
        <v>43056</v>
      </c>
      <c r="C36" s="8">
        <v>43056</v>
      </c>
      <c r="D36" s="8">
        <v>43056</v>
      </c>
      <c r="E36" t="s">
        <v>37</v>
      </c>
      <c r="F36" t="s">
        <v>33</v>
      </c>
      <c r="G36" t="s">
        <v>320</v>
      </c>
      <c r="H36" s="9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>
        <f>IF(TbRegistroSaídas[[#This Row],[Data do Caixa Previsto]]="",0,MONTH(TbRegistroSaídas[[#This Row],[Data do Caixa Previsto]]))</f>
        <v>11</v>
      </c>
      <c r="N36">
        <f>IF(TbRegistroSaídas[[#This Row],[Data do Caixa Previsto]]="",0,YEAR(TbRegistroSaídas[[#This Row],[Data do Caixa Previsto]]))</f>
        <v>2017</v>
      </c>
      <c r="O3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7" spans="2:15" x14ac:dyDescent="0.25">
      <c r="B37" s="8">
        <v>43112</v>
      </c>
      <c r="C37" s="8">
        <v>43057</v>
      </c>
      <c r="D37" s="8">
        <v>43112</v>
      </c>
      <c r="E37" t="s">
        <v>37</v>
      </c>
      <c r="F37" t="s">
        <v>44</v>
      </c>
      <c r="G37" t="s">
        <v>321</v>
      </c>
      <c r="H37" s="9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>
        <f>IF(TbRegistroSaídas[[#This Row],[Data do Caixa Previsto]]="",0,MONTH(TbRegistroSaídas[[#This Row],[Data do Caixa Previsto]]))</f>
        <v>1</v>
      </c>
      <c r="N37">
        <f>IF(TbRegistroSaídas[[#This Row],[Data do Caixa Previsto]]="",0,YEAR(TbRegistroSaídas[[#This Row],[Data do Caixa Previsto]]))</f>
        <v>2018</v>
      </c>
      <c r="O3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38" spans="2:15" x14ac:dyDescent="0.25">
      <c r="B38" s="8">
        <v>43101</v>
      </c>
      <c r="C38" s="8">
        <v>43058</v>
      </c>
      <c r="D38" s="8">
        <v>43058</v>
      </c>
      <c r="E38" t="s">
        <v>37</v>
      </c>
      <c r="F38" t="s">
        <v>35</v>
      </c>
      <c r="G38" t="s">
        <v>322</v>
      </c>
      <c r="H38" s="9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>
        <f>IF(TbRegistroSaídas[[#This Row],[Data do Caixa Previsto]]="",0,MONTH(TbRegistroSaídas[[#This Row],[Data do Caixa Previsto]]))</f>
        <v>11</v>
      </c>
      <c r="N38">
        <f>IF(TbRegistroSaídas[[#This Row],[Data do Caixa Previsto]]="",0,YEAR(TbRegistroSaídas[[#This Row],[Data do Caixa Previsto]]))</f>
        <v>2017</v>
      </c>
      <c r="O3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43</v>
      </c>
    </row>
    <row r="39" spans="2:15" x14ac:dyDescent="0.25">
      <c r="B39" s="8">
        <v>43061</v>
      </c>
      <c r="C39" s="8">
        <v>43061</v>
      </c>
      <c r="D39" s="8">
        <v>43061</v>
      </c>
      <c r="E39" t="s">
        <v>37</v>
      </c>
      <c r="F39" t="s">
        <v>44</v>
      </c>
      <c r="G39" t="s">
        <v>323</v>
      </c>
      <c r="H39" s="9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>
        <f>IF(TbRegistroSaídas[[#This Row],[Data do Caixa Previsto]]="",0,MONTH(TbRegistroSaídas[[#This Row],[Data do Caixa Previsto]]))</f>
        <v>11</v>
      </c>
      <c r="N39">
        <f>IF(TbRegistroSaídas[[#This Row],[Data do Caixa Previsto]]="",0,YEAR(TbRegistroSaídas[[#This Row],[Data do Caixa Previsto]]))</f>
        <v>2017</v>
      </c>
      <c r="O3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0" spans="2:15" x14ac:dyDescent="0.25">
      <c r="B40" s="8">
        <v>43103</v>
      </c>
      <c r="C40" s="8">
        <v>43062</v>
      </c>
      <c r="D40" s="8">
        <v>43103</v>
      </c>
      <c r="E40" t="s">
        <v>37</v>
      </c>
      <c r="F40" t="s">
        <v>44</v>
      </c>
      <c r="G40" t="s">
        <v>324</v>
      </c>
      <c r="H40" s="9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>
        <f>IF(TbRegistroSaídas[[#This Row],[Data do Caixa Previsto]]="",0,MONTH(TbRegistroSaídas[[#This Row],[Data do Caixa Previsto]]))</f>
        <v>1</v>
      </c>
      <c r="N40">
        <f>IF(TbRegistroSaídas[[#This Row],[Data do Caixa Previsto]]="",0,YEAR(TbRegistroSaídas[[#This Row],[Data do Caixa Previsto]]))</f>
        <v>2018</v>
      </c>
      <c r="O4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1" spans="2:15" x14ac:dyDescent="0.25">
      <c r="B41" s="8">
        <v>43070</v>
      </c>
      <c r="C41" s="8">
        <v>43069</v>
      </c>
      <c r="D41" s="8">
        <v>43070</v>
      </c>
      <c r="E41" t="s">
        <v>37</v>
      </c>
      <c r="F41" t="s">
        <v>44</v>
      </c>
      <c r="G41" t="s">
        <v>293</v>
      </c>
      <c r="H41" s="9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>
        <f>IF(TbRegistroSaídas[[#This Row],[Data do Caixa Previsto]]="",0,MONTH(TbRegistroSaídas[[#This Row],[Data do Caixa Previsto]]))</f>
        <v>12</v>
      </c>
      <c r="N41">
        <f>IF(TbRegistroSaídas[[#This Row],[Data do Caixa Previsto]]="",0,YEAR(TbRegistroSaídas[[#This Row],[Data do Caixa Previsto]]))</f>
        <v>2017</v>
      </c>
      <c r="O4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2" spans="2:15" x14ac:dyDescent="0.25">
      <c r="B42" s="8">
        <v>43096</v>
      </c>
      <c r="C42" s="8">
        <v>43070</v>
      </c>
      <c r="D42" s="8">
        <v>43096</v>
      </c>
      <c r="E42" t="s">
        <v>37</v>
      </c>
      <c r="F42" t="s">
        <v>31</v>
      </c>
      <c r="G42" t="s">
        <v>325</v>
      </c>
      <c r="H42" s="9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>
        <f>IF(TbRegistroSaídas[[#This Row],[Data do Caixa Previsto]]="",0,MONTH(TbRegistroSaídas[[#This Row],[Data do Caixa Previsto]]))</f>
        <v>12</v>
      </c>
      <c r="N42">
        <f>IF(TbRegistroSaídas[[#This Row],[Data do Caixa Previsto]]="",0,YEAR(TbRegistroSaídas[[#This Row],[Data do Caixa Previsto]]))</f>
        <v>2017</v>
      </c>
      <c r="O4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3" spans="2:15" x14ac:dyDescent="0.25">
      <c r="B43" s="8">
        <v>43125</v>
      </c>
      <c r="C43" s="8">
        <v>43071</v>
      </c>
      <c r="D43" s="8">
        <v>43125</v>
      </c>
      <c r="E43" t="s">
        <v>37</v>
      </c>
      <c r="F43" t="s">
        <v>32</v>
      </c>
      <c r="G43" t="s">
        <v>326</v>
      </c>
      <c r="H43" s="9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>
        <f>IF(TbRegistroSaídas[[#This Row],[Data do Caixa Previsto]]="",0,MONTH(TbRegistroSaídas[[#This Row],[Data do Caixa Previsto]]))</f>
        <v>1</v>
      </c>
      <c r="N43">
        <f>IF(TbRegistroSaídas[[#This Row],[Data do Caixa Previsto]]="",0,YEAR(TbRegistroSaídas[[#This Row],[Data do Caixa Previsto]]))</f>
        <v>2018</v>
      </c>
      <c r="O4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4" spans="2:15" x14ac:dyDescent="0.25">
      <c r="B44" s="8">
        <v>43075</v>
      </c>
      <c r="C44" s="8">
        <v>43075</v>
      </c>
      <c r="D44" s="8">
        <v>43075</v>
      </c>
      <c r="E44" t="s">
        <v>37</v>
      </c>
      <c r="F44" t="s">
        <v>33</v>
      </c>
      <c r="G44" t="s">
        <v>327</v>
      </c>
      <c r="H44" s="9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>
        <f>IF(TbRegistroSaídas[[#This Row],[Data do Caixa Previsto]]="",0,MONTH(TbRegistroSaídas[[#This Row],[Data do Caixa Previsto]]))</f>
        <v>12</v>
      </c>
      <c r="N44">
        <f>IF(TbRegistroSaídas[[#This Row],[Data do Caixa Previsto]]="",0,YEAR(TbRegistroSaídas[[#This Row],[Data do Caixa Previsto]]))</f>
        <v>2017</v>
      </c>
      <c r="O4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5" spans="2:15" x14ac:dyDescent="0.25">
      <c r="B45" s="8">
        <v>43077</v>
      </c>
      <c r="C45" s="8">
        <v>43077</v>
      </c>
      <c r="D45" s="8">
        <v>43077</v>
      </c>
      <c r="E45" t="s">
        <v>37</v>
      </c>
      <c r="F45" t="s">
        <v>31</v>
      </c>
      <c r="G45" t="s">
        <v>289</v>
      </c>
      <c r="H45" s="9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>
        <f>IF(TbRegistroSaídas[[#This Row],[Data do Caixa Previsto]]="",0,MONTH(TbRegistroSaídas[[#This Row],[Data do Caixa Previsto]]))</f>
        <v>12</v>
      </c>
      <c r="N45">
        <f>IF(TbRegistroSaídas[[#This Row],[Data do Caixa Previsto]]="",0,YEAR(TbRegistroSaídas[[#This Row],[Data do Caixa Previsto]]))</f>
        <v>2017</v>
      </c>
      <c r="O4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6" spans="2:15" x14ac:dyDescent="0.25">
      <c r="B46" s="8">
        <v>43099</v>
      </c>
      <c r="C46" s="8">
        <v>43079</v>
      </c>
      <c r="D46" s="8">
        <v>43099</v>
      </c>
      <c r="E46" t="s">
        <v>37</v>
      </c>
      <c r="F46" t="s">
        <v>44</v>
      </c>
      <c r="G46" t="s">
        <v>328</v>
      </c>
      <c r="H46" s="9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>
        <f>IF(TbRegistroSaídas[[#This Row],[Data do Caixa Previsto]]="",0,MONTH(TbRegistroSaídas[[#This Row],[Data do Caixa Previsto]]))</f>
        <v>12</v>
      </c>
      <c r="N46">
        <f>IF(TbRegistroSaídas[[#This Row],[Data do Caixa Previsto]]="",0,YEAR(TbRegistroSaídas[[#This Row],[Data do Caixa Previsto]]))</f>
        <v>2017</v>
      </c>
      <c r="O4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7" spans="2:15" x14ac:dyDescent="0.25">
      <c r="B47" s="8" t="s">
        <v>68</v>
      </c>
      <c r="C47" s="8">
        <v>43084</v>
      </c>
      <c r="D47" s="8">
        <v>43142</v>
      </c>
      <c r="E47" t="s">
        <v>37</v>
      </c>
      <c r="F47" t="s">
        <v>32</v>
      </c>
      <c r="G47" t="s">
        <v>329</v>
      </c>
      <c r="H47" s="9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>
        <f>IF(TbRegistroSaídas[[#This Row],[Data do Caixa Previsto]]="",0,MONTH(TbRegistroSaídas[[#This Row],[Data do Caixa Previsto]]))</f>
        <v>2</v>
      </c>
      <c r="N47">
        <f>IF(TbRegistroSaídas[[#This Row],[Data do Caixa Previsto]]="",0,YEAR(TbRegistroSaídas[[#This Row],[Data do Caixa Previsto]]))</f>
        <v>2018</v>
      </c>
      <c r="O4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1773</v>
      </c>
    </row>
    <row r="48" spans="2:15" x14ac:dyDescent="0.25">
      <c r="B48" s="8">
        <v>43098</v>
      </c>
      <c r="C48" s="8">
        <v>43086</v>
      </c>
      <c r="D48" s="8">
        <v>43098</v>
      </c>
      <c r="E48" t="s">
        <v>37</v>
      </c>
      <c r="F48" t="s">
        <v>31</v>
      </c>
      <c r="G48" t="s">
        <v>330</v>
      </c>
      <c r="H48" s="9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>
        <f>IF(TbRegistroSaídas[[#This Row],[Data do Caixa Previsto]]="",0,MONTH(TbRegistroSaídas[[#This Row],[Data do Caixa Previsto]]))</f>
        <v>12</v>
      </c>
      <c r="N48">
        <f>IF(TbRegistroSaídas[[#This Row],[Data do Caixa Previsto]]="",0,YEAR(TbRegistroSaídas[[#This Row],[Data do Caixa Previsto]]))</f>
        <v>2017</v>
      </c>
      <c r="O4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49" spans="2:15" x14ac:dyDescent="0.25">
      <c r="B49" s="8">
        <v>43111</v>
      </c>
      <c r="C49" s="8">
        <v>43089</v>
      </c>
      <c r="D49" s="8">
        <v>43111</v>
      </c>
      <c r="E49" t="s">
        <v>37</v>
      </c>
      <c r="F49" t="s">
        <v>44</v>
      </c>
      <c r="G49" t="s">
        <v>331</v>
      </c>
      <c r="H49" s="9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>
        <f>IF(TbRegistroSaídas[[#This Row],[Data do Caixa Previsto]]="",0,MONTH(TbRegistroSaídas[[#This Row],[Data do Caixa Previsto]]))</f>
        <v>1</v>
      </c>
      <c r="N49">
        <f>IF(TbRegistroSaídas[[#This Row],[Data do Caixa Previsto]]="",0,YEAR(TbRegistroSaídas[[#This Row],[Data do Caixa Previsto]]))</f>
        <v>2018</v>
      </c>
      <c r="O4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0" spans="2:15" x14ac:dyDescent="0.25">
      <c r="B50" s="8">
        <v>43151</v>
      </c>
      <c r="C50" s="8">
        <v>43090</v>
      </c>
      <c r="D50" s="8">
        <v>43148</v>
      </c>
      <c r="E50" t="s">
        <v>37</v>
      </c>
      <c r="F50" t="s">
        <v>44</v>
      </c>
      <c r="G50" t="s">
        <v>332</v>
      </c>
      <c r="H50" s="9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>
        <f>IF(TbRegistroSaídas[[#This Row],[Data do Caixa Previsto]]="",0,MONTH(TbRegistroSaídas[[#This Row],[Data do Caixa Previsto]]))</f>
        <v>2</v>
      </c>
      <c r="N50">
        <f>IF(TbRegistroSaídas[[#This Row],[Data do Caixa Previsto]]="",0,YEAR(TbRegistroSaídas[[#This Row],[Data do Caixa Previsto]]))</f>
        <v>2018</v>
      </c>
      <c r="O5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3</v>
      </c>
    </row>
    <row r="51" spans="2:15" x14ac:dyDescent="0.25">
      <c r="B51" s="8">
        <v>43094</v>
      </c>
      <c r="C51" s="8">
        <v>43094</v>
      </c>
      <c r="D51" s="8">
        <v>43094</v>
      </c>
      <c r="E51" t="s">
        <v>37</v>
      </c>
      <c r="F51" t="s">
        <v>31</v>
      </c>
      <c r="G51" t="s">
        <v>333</v>
      </c>
      <c r="H51" s="9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>
        <f>IF(TbRegistroSaídas[[#This Row],[Data do Caixa Previsto]]="",0,MONTH(TbRegistroSaídas[[#This Row],[Data do Caixa Previsto]]))</f>
        <v>12</v>
      </c>
      <c r="N51">
        <f>IF(TbRegistroSaídas[[#This Row],[Data do Caixa Previsto]]="",0,YEAR(TbRegistroSaídas[[#This Row],[Data do Caixa Previsto]]))</f>
        <v>2017</v>
      </c>
      <c r="O5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2" spans="2:15" x14ac:dyDescent="0.25">
      <c r="B52" s="8">
        <v>43124</v>
      </c>
      <c r="C52" s="8">
        <v>43096</v>
      </c>
      <c r="D52" s="8">
        <v>43124</v>
      </c>
      <c r="E52" t="s">
        <v>37</v>
      </c>
      <c r="F52" t="s">
        <v>35</v>
      </c>
      <c r="G52" t="s">
        <v>334</v>
      </c>
      <c r="H52" s="9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>
        <f>IF(TbRegistroSaídas[[#This Row],[Data do Caixa Previsto]]="",0,MONTH(TbRegistroSaídas[[#This Row],[Data do Caixa Previsto]]))</f>
        <v>1</v>
      </c>
      <c r="N52">
        <f>IF(TbRegistroSaídas[[#This Row],[Data do Caixa Previsto]]="",0,YEAR(TbRegistroSaídas[[#This Row],[Data do Caixa Previsto]]))</f>
        <v>2018</v>
      </c>
      <c r="O5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3" spans="2:15" x14ac:dyDescent="0.25">
      <c r="B53" s="8">
        <v>43098</v>
      </c>
      <c r="C53" s="8">
        <v>43098</v>
      </c>
      <c r="D53" s="8">
        <v>43098</v>
      </c>
      <c r="E53" t="s">
        <v>37</v>
      </c>
      <c r="F53" t="s">
        <v>32</v>
      </c>
      <c r="G53" t="s">
        <v>335</v>
      </c>
      <c r="H53" s="9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>
        <f>IF(TbRegistroSaídas[[#This Row],[Data do Caixa Previsto]]="",0,MONTH(TbRegistroSaídas[[#This Row],[Data do Caixa Previsto]]))</f>
        <v>12</v>
      </c>
      <c r="N53">
        <f>IF(TbRegistroSaídas[[#This Row],[Data do Caixa Previsto]]="",0,YEAR(TbRegistroSaídas[[#This Row],[Data do Caixa Previsto]]))</f>
        <v>2017</v>
      </c>
      <c r="O5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4" spans="2:15" x14ac:dyDescent="0.25">
      <c r="B54" s="8" t="s">
        <v>68</v>
      </c>
      <c r="C54" s="8">
        <v>43100</v>
      </c>
      <c r="D54" s="8">
        <v>43151</v>
      </c>
      <c r="E54" t="s">
        <v>37</v>
      </c>
      <c r="F54" t="s">
        <v>33</v>
      </c>
      <c r="G54" t="s">
        <v>336</v>
      </c>
      <c r="H54" s="9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>
        <f>IF(TbRegistroSaídas[[#This Row],[Data do Caixa Previsto]]="",0,MONTH(TbRegistroSaídas[[#This Row],[Data do Caixa Previsto]]))</f>
        <v>2</v>
      </c>
      <c r="N54">
        <f>IF(TbRegistroSaídas[[#This Row],[Data do Caixa Previsto]]="",0,YEAR(TbRegistroSaídas[[#This Row],[Data do Caixa Previsto]]))</f>
        <v>2018</v>
      </c>
      <c r="O5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1764</v>
      </c>
    </row>
    <row r="55" spans="2:15" x14ac:dyDescent="0.25">
      <c r="B55" s="8">
        <v>43108</v>
      </c>
      <c r="C55" s="8">
        <v>43103</v>
      </c>
      <c r="D55" s="8">
        <v>43108</v>
      </c>
      <c r="E55" t="s">
        <v>37</v>
      </c>
      <c r="F55" t="s">
        <v>35</v>
      </c>
      <c r="G55" t="s">
        <v>337</v>
      </c>
      <c r="H55" s="9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>
        <f>IF(TbRegistroSaídas[[#This Row],[Data do Caixa Previsto]]="",0,MONTH(TbRegistroSaídas[[#This Row],[Data do Caixa Previsto]]))</f>
        <v>1</v>
      </c>
      <c r="N55">
        <f>IF(TbRegistroSaídas[[#This Row],[Data do Caixa Previsto]]="",0,YEAR(TbRegistroSaídas[[#This Row],[Data do Caixa Previsto]]))</f>
        <v>2018</v>
      </c>
      <c r="O5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6" spans="2:15" x14ac:dyDescent="0.25">
      <c r="B56" s="8">
        <v>43117</v>
      </c>
      <c r="C56" s="8">
        <v>43106</v>
      </c>
      <c r="D56" s="8">
        <v>43117</v>
      </c>
      <c r="E56" t="s">
        <v>37</v>
      </c>
      <c r="F56" t="s">
        <v>44</v>
      </c>
      <c r="G56" t="s">
        <v>338</v>
      </c>
      <c r="H56" s="9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>
        <f>IF(TbRegistroSaídas[[#This Row],[Data do Caixa Previsto]]="",0,MONTH(TbRegistroSaídas[[#This Row],[Data do Caixa Previsto]]))</f>
        <v>1</v>
      </c>
      <c r="N56">
        <f>IF(TbRegistroSaídas[[#This Row],[Data do Caixa Previsto]]="",0,YEAR(TbRegistroSaídas[[#This Row],[Data do Caixa Previsto]]))</f>
        <v>2018</v>
      </c>
      <c r="O5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7" spans="2:15" x14ac:dyDescent="0.25">
      <c r="B57" s="8" t="s">
        <v>68</v>
      </c>
      <c r="C57" s="8">
        <v>43109</v>
      </c>
      <c r="D57" s="8">
        <v>43109</v>
      </c>
      <c r="E57" t="s">
        <v>37</v>
      </c>
      <c r="F57" t="s">
        <v>32</v>
      </c>
      <c r="G57" t="s">
        <v>339</v>
      </c>
      <c r="H57" s="9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>
        <f>IF(TbRegistroSaídas[[#This Row],[Data do Caixa Previsto]]="",0,MONTH(TbRegistroSaídas[[#This Row],[Data do Caixa Previsto]]))</f>
        <v>1</v>
      </c>
      <c r="N57">
        <f>IF(TbRegistroSaídas[[#This Row],[Data do Caixa Previsto]]="",0,YEAR(TbRegistroSaídas[[#This Row],[Data do Caixa Previsto]]))</f>
        <v>2018</v>
      </c>
      <c r="O5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1806</v>
      </c>
    </row>
    <row r="58" spans="2:15" x14ac:dyDescent="0.25">
      <c r="B58" s="8">
        <v>43110</v>
      </c>
      <c r="C58" s="8">
        <v>43110</v>
      </c>
      <c r="D58" s="8">
        <v>43110</v>
      </c>
      <c r="E58" t="s">
        <v>37</v>
      </c>
      <c r="F58" t="s">
        <v>44</v>
      </c>
      <c r="G58" t="s">
        <v>340</v>
      </c>
      <c r="H58" s="9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>
        <f>IF(TbRegistroSaídas[[#This Row],[Data do Caixa Previsto]]="",0,MONTH(TbRegistroSaídas[[#This Row],[Data do Caixa Previsto]]))</f>
        <v>1</v>
      </c>
      <c r="N58">
        <f>IF(TbRegistroSaídas[[#This Row],[Data do Caixa Previsto]]="",0,YEAR(TbRegistroSaídas[[#This Row],[Data do Caixa Previsto]]))</f>
        <v>2018</v>
      </c>
      <c r="O5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59" spans="2:15" x14ac:dyDescent="0.25">
      <c r="B59" s="8" t="s">
        <v>68</v>
      </c>
      <c r="C59" s="8">
        <v>43112</v>
      </c>
      <c r="D59" s="8">
        <v>43112</v>
      </c>
      <c r="E59" t="s">
        <v>37</v>
      </c>
      <c r="F59" t="s">
        <v>44</v>
      </c>
      <c r="G59" t="s">
        <v>341</v>
      </c>
      <c r="H59" s="9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>
        <f>IF(TbRegistroSaídas[[#This Row],[Data do Caixa Previsto]]="",0,MONTH(TbRegistroSaídas[[#This Row],[Data do Caixa Previsto]]))</f>
        <v>1</v>
      </c>
      <c r="N59">
        <f>IF(TbRegistroSaídas[[#This Row],[Data do Caixa Previsto]]="",0,YEAR(TbRegistroSaídas[[#This Row],[Data do Caixa Previsto]]))</f>
        <v>2018</v>
      </c>
      <c r="O5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1803</v>
      </c>
    </row>
    <row r="60" spans="2:15" x14ac:dyDescent="0.25">
      <c r="B60" s="8">
        <v>43137</v>
      </c>
      <c r="C60" s="8">
        <v>43113</v>
      </c>
      <c r="D60" s="8">
        <v>43137</v>
      </c>
      <c r="E60" t="s">
        <v>37</v>
      </c>
      <c r="F60" t="s">
        <v>35</v>
      </c>
      <c r="G60" t="s">
        <v>342</v>
      </c>
      <c r="H60" s="9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>
        <f>IF(TbRegistroSaídas[[#This Row],[Data do Caixa Previsto]]="",0,MONTH(TbRegistroSaídas[[#This Row],[Data do Caixa Previsto]]))</f>
        <v>2</v>
      </c>
      <c r="N60">
        <f>IF(TbRegistroSaídas[[#This Row],[Data do Caixa Previsto]]="",0,YEAR(TbRegistroSaídas[[#This Row],[Data do Caixa Previsto]]))</f>
        <v>2018</v>
      </c>
      <c r="O6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1" spans="2:15" x14ac:dyDescent="0.25">
      <c r="B61" s="8">
        <v>43144</v>
      </c>
      <c r="C61" s="8">
        <v>43114</v>
      </c>
      <c r="D61" s="8">
        <v>43144</v>
      </c>
      <c r="E61" t="s">
        <v>37</v>
      </c>
      <c r="F61" t="s">
        <v>35</v>
      </c>
      <c r="G61" t="s">
        <v>343</v>
      </c>
      <c r="H61" s="9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>
        <f>IF(TbRegistroSaídas[[#This Row],[Data do Caixa Previsto]]="",0,MONTH(TbRegistroSaídas[[#This Row],[Data do Caixa Previsto]]))</f>
        <v>2</v>
      </c>
      <c r="N61">
        <f>IF(TbRegistroSaídas[[#This Row],[Data do Caixa Previsto]]="",0,YEAR(TbRegistroSaídas[[#This Row],[Data do Caixa Previsto]]))</f>
        <v>2018</v>
      </c>
      <c r="O6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2" spans="2:15" x14ac:dyDescent="0.25">
      <c r="B62" s="8">
        <v>43116</v>
      </c>
      <c r="C62" s="8">
        <v>43116</v>
      </c>
      <c r="D62" s="8">
        <v>43116</v>
      </c>
      <c r="E62" t="s">
        <v>37</v>
      </c>
      <c r="F62" t="s">
        <v>44</v>
      </c>
      <c r="G62" t="s">
        <v>296</v>
      </c>
      <c r="H62" s="9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>
        <f>IF(TbRegistroSaídas[[#This Row],[Data do Caixa Previsto]]="",0,MONTH(TbRegistroSaídas[[#This Row],[Data do Caixa Previsto]]))</f>
        <v>1</v>
      </c>
      <c r="N62">
        <f>IF(TbRegistroSaídas[[#This Row],[Data do Caixa Previsto]]="",0,YEAR(TbRegistroSaídas[[#This Row],[Data do Caixa Previsto]]))</f>
        <v>2018</v>
      </c>
      <c r="O6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3" spans="2:15" x14ac:dyDescent="0.25">
      <c r="B63" s="8">
        <v>43133</v>
      </c>
      <c r="C63" s="8">
        <v>43120</v>
      </c>
      <c r="D63" s="8">
        <v>43120</v>
      </c>
      <c r="E63" t="s">
        <v>37</v>
      </c>
      <c r="F63" t="s">
        <v>44</v>
      </c>
      <c r="G63" t="s">
        <v>344</v>
      </c>
      <c r="H63" s="9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>
        <f>IF(TbRegistroSaídas[[#This Row],[Data do Caixa Previsto]]="",0,MONTH(TbRegistroSaídas[[#This Row],[Data do Caixa Previsto]]))</f>
        <v>1</v>
      </c>
      <c r="N63">
        <f>IF(TbRegistroSaídas[[#This Row],[Data do Caixa Previsto]]="",0,YEAR(TbRegistroSaídas[[#This Row],[Data do Caixa Previsto]]))</f>
        <v>2018</v>
      </c>
      <c r="O6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</v>
      </c>
    </row>
    <row r="64" spans="2:15" x14ac:dyDescent="0.25">
      <c r="B64" s="8">
        <v>43141</v>
      </c>
      <c r="C64" s="8">
        <v>43121</v>
      </c>
      <c r="D64" s="8">
        <v>43141</v>
      </c>
      <c r="E64" t="s">
        <v>37</v>
      </c>
      <c r="F64" t="s">
        <v>31</v>
      </c>
      <c r="G64" t="s">
        <v>345</v>
      </c>
      <c r="H64" s="9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>
        <f>IF(TbRegistroSaídas[[#This Row],[Data do Caixa Previsto]]="",0,MONTH(TbRegistroSaídas[[#This Row],[Data do Caixa Previsto]]))</f>
        <v>2</v>
      </c>
      <c r="N64">
        <f>IF(TbRegistroSaídas[[#This Row],[Data do Caixa Previsto]]="",0,YEAR(TbRegistroSaídas[[#This Row],[Data do Caixa Previsto]]))</f>
        <v>2018</v>
      </c>
      <c r="O6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5" spans="2:15" x14ac:dyDescent="0.25">
      <c r="B65" s="8">
        <v>43140</v>
      </c>
      <c r="C65" s="8">
        <v>43123</v>
      </c>
      <c r="D65" s="8">
        <v>43140</v>
      </c>
      <c r="E65" t="s">
        <v>37</v>
      </c>
      <c r="F65" t="s">
        <v>35</v>
      </c>
      <c r="G65" t="s">
        <v>346</v>
      </c>
      <c r="H65" s="9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>
        <f>IF(TbRegistroSaídas[[#This Row],[Data do Caixa Previsto]]="",0,MONTH(TbRegistroSaídas[[#This Row],[Data do Caixa Previsto]]))</f>
        <v>2</v>
      </c>
      <c r="N65">
        <f>IF(TbRegistroSaídas[[#This Row],[Data do Caixa Previsto]]="",0,YEAR(TbRegistroSaídas[[#This Row],[Data do Caixa Previsto]]))</f>
        <v>2018</v>
      </c>
      <c r="O6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66" spans="2:15" x14ac:dyDescent="0.25">
      <c r="B66" s="8" t="s">
        <v>68</v>
      </c>
      <c r="C66" s="8">
        <v>43125</v>
      </c>
      <c r="D66" s="8">
        <v>43125</v>
      </c>
      <c r="E66" t="s">
        <v>37</v>
      </c>
      <c r="F66" t="s">
        <v>33</v>
      </c>
      <c r="G66" t="s">
        <v>347</v>
      </c>
      <c r="H66" s="9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>
        <f>IF(TbRegistroSaídas[[#This Row],[Data do Caixa Previsto]]="",0,MONTH(TbRegistroSaídas[[#This Row],[Data do Caixa Previsto]]))</f>
        <v>1</v>
      </c>
      <c r="N66">
        <f>IF(TbRegistroSaídas[[#This Row],[Data do Caixa Previsto]]="",0,YEAR(TbRegistroSaídas[[#This Row],[Data do Caixa Previsto]]))</f>
        <v>2018</v>
      </c>
      <c r="O6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1790</v>
      </c>
    </row>
    <row r="67" spans="2:15" x14ac:dyDescent="0.25">
      <c r="B67" s="8">
        <v>43178</v>
      </c>
      <c r="C67" s="8">
        <v>43127</v>
      </c>
      <c r="D67" s="8">
        <v>43127</v>
      </c>
      <c r="E67" t="s">
        <v>37</v>
      </c>
      <c r="F67" t="s">
        <v>32</v>
      </c>
      <c r="G67" t="s">
        <v>348</v>
      </c>
      <c r="H67" s="9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>
        <f>IF(TbRegistroSaídas[[#This Row],[Data do Caixa Previsto]]="",0,MONTH(TbRegistroSaídas[[#This Row],[Data do Caixa Previsto]]))</f>
        <v>1</v>
      </c>
      <c r="N67">
        <f>IF(TbRegistroSaídas[[#This Row],[Data do Caixa Previsto]]="",0,YEAR(TbRegistroSaídas[[#This Row],[Data do Caixa Previsto]]))</f>
        <v>2018</v>
      </c>
      <c r="O6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51</v>
      </c>
    </row>
    <row r="68" spans="2:15" x14ac:dyDescent="0.25">
      <c r="B68" s="8">
        <v>43215</v>
      </c>
      <c r="C68" s="8">
        <v>43129</v>
      </c>
      <c r="D68" s="8">
        <v>43129</v>
      </c>
      <c r="E68" t="s">
        <v>37</v>
      </c>
      <c r="F68" t="s">
        <v>44</v>
      </c>
      <c r="G68" t="s">
        <v>349</v>
      </c>
      <c r="H68" s="9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>
        <f>IF(TbRegistroSaídas[[#This Row],[Data do Caixa Previsto]]="",0,MONTH(TbRegistroSaídas[[#This Row],[Data do Caixa Previsto]]))</f>
        <v>1</v>
      </c>
      <c r="N68">
        <f>IF(TbRegistroSaídas[[#This Row],[Data do Caixa Previsto]]="",0,YEAR(TbRegistroSaídas[[#This Row],[Data do Caixa Previsto]]))</f>
        <v>2018</v>
      </c>
      <c r="O6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86</v>
      </c>
    </row>
    <row r="69" spans="2:15" x14ac:dyDescent="0.25">
      <c r="B69" s="8">
        <v>43131</v>
      </c>
      <c r="C69" s="8">
        <v>43131</v>
      </c>
      <c r="D69" s="8">
        <v>43131</v>
      </c>
      <c r="E69" t="s">
        <v>37</v>
      </c>
      <c r="F69" t="s">
        <v>35</v>
      </c>
      <c r="G69" t="s">
        <v>350</v>
      </c>
      <c r="H69" s="9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>
        <f>IF(TbRegistroSaídas[[#This Row],[Data do Caixa Previsto]]="",0,MONTH(TbRegistroSaídas[[#This Row],[Data do Caixa Previsto]]))</f>
        <v>1</v>
      </c>
      <c r="N69">
        <f>IF(TbRegistroSaídas[[#This Row],[Data do Caixa Previsto]]="",0,YEAR(TbRegistroSaídas[[#This Row],[Data do Caixa Previsto]]))</f>
        <v>2018</v>
      </c>
      <c r="O6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0" spans="2:15" x14ac:dyDescent="0.25">
      <c r="B70" s="8" t="s">
        <v>68</v>
      </c>
      <c r="C70" s="8">
        <v>43135</v>
      </c>
      <c r="D70" s="8">
        <v>43135</v>
      </c>
      <c r="E70" t="s">
        <v>37</v>
      </c>
      <c r="F70" t="s">
        <v>31</v>
      </c>
      <c r="G70" t="s">
        <v>351</v>
      </c>
      <c r="H70" s="9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>
        <f>IF(TbRegistroSaídas[[#This Row],[Data do Caixa Previsto]]="",0,MONTH(TbRegistroSaídas[[#This Row],[Data do Caixa Previsto]]))</f>
        <v>2</v>
      </c>
      <c r="N70">
        <f>IF(TbRegistroSaídas[[#This Row],[Data do Caixa Previsto]]="",0,YEAR(TbRegistroSaídas[[#This Row],[Data do Caixa Previsto]]))</f>
        <v>2018</v>
      </c>
      <c r="O7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1780</v>
      </c>
    </row>
    <row r="71" spans="2:15" x14ac:dyDescent="0.25">
      <c r="B71" s="8">
        <v>43136</v>
      </c>
      <c r="C71" s="8">
        <v>43136</v>
      </c>
      <c r="D71" s="8">
        <v>43136</v>
      </c>
      <c r="E71" t="s">
        <v>37</v>
      </c>
      <c r="F71" t="s">
        <v>44</v>
      </c>
      <c r="G71" t="s">
        <v>352</v>
      </c>
      <c r="H71" s="9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>
        <f>IF(TbRegistroSaídas[[#This Row],[Data do Caixa Previsto]]="",0,MONTH(TbRegistroSaídas[[#This Row],[Data do Caixa Previsto]]))</f>
        <v>2</v>
      </c>
      <c r="N71">
        <f>IF(TbRegistroSaídas[[#This Row],[Data do Caixa Previsto]]="",0,YEAR(TbRegistroSaídas[[#This Row],[Data do Caixa Previsto]]))</f>
        <v>2018</v>
      </c>
      <c r="O7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2" spans="2:15" x14ac:dyDescent="0.25">
      <c r="B72" s="8">
        <v>43137</v>
      </c>
      <c r="C72" s="8">
        <v>43137</v>
      </c>
      <c r="D72" s="8">
        <v>43137</v>
      </c>
      <c r="E72" t="s">
        <v>37</v>
      </c>
      <c r="F72" t="s">
        <v>44</v>
      </c>
      <c r="G72" t="s">
        <v>353</v>
      </c>
      <c r="H72" s="9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>
        <f>IF(TbRegistroSaídas[[#This Row],[Data do Caixa Previsto]]="",0,MONTH(TbRegistroSaídas[[#This Row],[Data do Caixa Previsto]]))</f>
        <v>2</v>
      </c>
      <c r="N72">
        <f>IF(TbRegistroSaídas[[#This Row],[Data do Caixa Previsto]]="",0,YEAR(TbRegistroSaídas[[#This Row],[Data do Caixa Previsto]]))</f>
        <v>2018</v>
      </c>
      <c r="O7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3" spans="2:15" x14ac:dyDescent="0.25">
      <c r="B73" s="8">
        <v>43177</v>
      </c>
      <c r="C73" s="8">
        <v>43138</v>
      </c>
      <c r="D73" s="8">
        <v>43177</v>
      </c>
      <c r="E73" t="s">
        <v>37</v>
      </c>
      <c r="F73" t="s">
        <v>32</v>
      </c>
      <c r="G73" t="s">
        <v>354</v>
      </c>
      <c r="H73" s="9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>
        <f>IF(TbRegistroSaídas[[#This Row],[Data do Caixa Previsto]]="",0,MONTH(TbRegistroSaídas[[#This Row],[Data do Caixa Previsto]]))</f>
        <v>3</v>
      </c>
      <c r="N73">
        <f>IF(TbRegistroSaídas[[#This Row],[Data do Caixa Previsto]]="",0,YEAR(TbRegistroSaídas[[#This Row],[Data do Caixa Previsto]]))</f>
        <v>2018</v>
      </c>
      <c r="O7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4" spans="2:15" x14ac:dyDescent="0.25">
      <c r="B74" s="8">
        <v>43175</v>
      </c>
      <c r="C74" s="8">
        <v>43140</v>
      </c>
      <c r="D74" s="8">
        <v>43175</v>
      </c>
      <c r="E74" t="s">
        <v>37</v>
      </c>
      <c r="F74" t="s">
        <v>33</v>
      </c>
      <c r="G74" t="s">
        <v>355</v>
      </c>
      <c r="H74" s="9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>
        <f>IF(TbRegistroSaídas[[#This Row],[Data do Caixa Previsto]]="",0,MONTH(TbRegistroSaídas[[#This Row],[Data do Caixa Previsto]]))</f>
        <v>3</v>
      </c>
      <c r="N74">
        <f>IF(TbRegistroSaídas[[#This Row],[Data do Caixa Previsto]]="",0,YEAR(TbRegistroSaídas[[#This Row],[Data do Caixa Previsto]]))</f>
        <v>2018</v>
      </c>
      <c r="O7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5" spans="2:15" x14ac:dyDescent="0.25">
      <c r="B75" s="8">
        <v>43150</v>
      </c>
      <c r="C75" s="8">
        <v>43145</v>
      </c>
      <c r="D75" s="8">
        <v>43150</v>
      </c>
      <c r="E75" t="s">
        <v>37</v>
      </c>
      <c r="F75" t="s">
        <v>33</v>
      </c>
      <c r="G75" t="s">
        <v>356</v>
      </c>
      <c r="H75" s="9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>
        <f>IF(TbRegistroSaídas[[#This Row],[Data do Caixa Previsto]]="",0,MONTH(TbRegistroSaídas[[#This Row],[Data do Caixa Previsto]]))</f>
        <v>2</v>
      </c>
      <c r="N75">
        <f>IF(TbRegistroSaídas[[#This Row],[Data do Caixa Previsto]]="",0,YEAR(TbRegistroSaídas[[#This Row],[Data do Caixa Previsto]]))</f>
        <v>2018</v>
      </c>
      <c r="O7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6" spans="2:15" x14ac:dyDescent="0.25">
      <c r="B76" s="8">
        <v>43219</v>
      </c>
      <c r="C76" s="8">
        <v>43146</v>
      </c>
      <c r="D76" s="8">
        <v>43169</v>
      </c>
      <c r="E76" t="s">
        <v>37</v>
      </c>
      <c r="F76" t="s">
        <v>44</v>
      </c>
      <c r="G76" t="s">
        <v>357</v>
      </c>
      <c r="H76" s="9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>
        <f>IF(TbRegistroSaídas[[#This Row],[Data do Caixa Previsto]]="",0,MONTH(TbRegistroSaídas[[#This Row],[Data do Caixa Previsto]]))</f>
        <v>3</v>
      </c>
      <c r="N76">
        <f>IF(TbRegistroSaídas[[#This Row],[Data do Caixa Previsto]]="",0,YEAR(TbRegistroSaídas[[#This Row],[Data do Caixa Previsto]]))</f>
        <v>2018</v>
      </c>
      <c r="O7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50</v>
      </c>
    </row>
    <row r="77" spans="2:15" x14ac:dyDescent="0.25">
      <c r="B77" s="8">
        <v>43198</v>
      </c>
      <c r="C77" s="8">
        <v>43151</v>
      </c>
      <c r="D77" s="8">
        <v>43198</v>
      </c>
      <c r="E77" t="s">
        <v>37</v>
      </c>
      <c r="F77" t="s">
        <v>32</v>
      </c>
      <c r="G77" t="s">
        <v>358</v>
      </c>
      <c r="H77" s="9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>
        <f>IF(TbRegistroSaídas[[#This Row],[Data do Caixa Previsto]]="",0,MONTH(TbRegistroSaídas[[#This Row],[Data do Caixa Previsto]]))</f>
        <v>4</v>
      </c>
      <c r="N77">
        <f>IF(TbRegistroSaídas[[#This Row],[Data do Caixa Previsto]]="",0,YEAR(TbRegistroSaídas[[#This Row],[Data do Caixa Previsto]]))</f>
        <v>2018</v>
      </c>
      <c r="O7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8" spans="2:15" x14ac:dyDescent="0.25">
      <c r="B78" s="8">
        <v>43160</v>
      </c>
      <c r="C78" s="8">
        <v>43160</v>
      </c>
      <c r="D78" s="8">
        <v>43160</v>
      </c>
      <c r="E78" t="s">
        <v>37</v>
      </c>
      <c r="F78" t="s">
        <v>44</v>
      </c>
      <c r="G78" t="s">
        <v>359</v>
      </c>
      <c r="H78" s="9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>
        <f>IF(TbRegistroSaídas[[#This Row],[Data do Caixa Previsto]]="",0,MONTH(TbRegistroSaídas[[#This Row],[Data do Caixa Previsto]]))</f>
        <v>3</v>
      </c>
      <c r="N78">
        <f>IF(TbRegistroSaídas[[#This Row],[Data do Caixa Previsto]]="",0,YEAR(TbRegistroSaídas[[#This Row],[Data do Caixa Previsto]]))</f>
        <v>2018</v>
      </c>
      <c r="O7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79" spans="2:15" x14ac:dyDescent="0.25">
      <c r="B79" s="8">
        <v>43163</v>
      </c>
      <c r="C79" s="8">
        <v>43163</v>
      </c>
      <c r="D79" s="8">
        <v>43163</v>
      </c>
      <c r="E79" t="s">
        <v>37</v>
      </c>
      <c r="F79" t="s">
        <v>44</v>
      </c>
      <c r="G79" t="s">
        <v>223</v>
      </c>
      <c r="H79" s="9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>
        <f>IF(TbRegistroSaídas[[#This Row],[Data do Caixa Previsto]]="",0,MONTH(TbRegistroSaídas[[#This Row],[Data do Caixa Previsto]]))</f>
        <v>3</v>
      </c>
      <c r="N79">
        <f>IF(TbRegistroSaídas[[#This Row],[Data do Caixa Previsto]]="",0,YEAR(TbRegistroSaídas[[#This Row],[Data do Caixa Previsto]]))</f>
        <v>2018</v>
      </c>
      <c r="O7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0" spans="2:15" x14ac:dyDescent="0.25">
      <c r="B80" s="8">
        <v>43219</v>
      </c>
      <c r="C80" s="8">
        <v>43164</v>
      </c>
      <c r="D80" s="8">
        <v>43219</v>
      </c>
      <c r="E80" t="s">
        <v>37</v>
      </c>
      <c r="F80" t="s">
        <v>33</v>
      </c>
      <c r="G80" t="s">
        <v>360</v>
      </c>
      <c r="H80" s="9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>
        <f>IF(TbRegistroSaídas[[#This Row],[Data do Caixa Previsto]]="",0,MONTH(TbRegistroSaídas[[#This Row],[Data do Caixa Previsto]]))</f>
        <v>4</v>
      </c>
      <c r="N80">
        <f>IF(TbRegistroSaídas[[#This Row],[Data do Caixa Previsto]]="",0,YEAR(TbRegistroSaídas[[#This Row],[Data do Caixa Previsto]]))</f>
        <v>2018</v>
      </c>
      <c r="O8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1" spans="2:15" x14ac:dyDescent="0.25">
      <c r="B81" s="8">
        <v>43188</v>
      </c>
      <c r="C81" s="8">
        <v>43166</v>
      </c>
      <c r="D81" s="8">
        <v>43188</v>
      </c>
      <c r="E81" t="s">
        <v>37</v>
      </c>
      <c r="F81" t="s">
        <v>32</v>
      </c>
      <c r="G81" t="s">
        <v>361</v>
      </c>
      <c r="H81" s="9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>
        <f>IF(TbRegistroSaídas[[#This Row],[Data do Caixa Previsto]]="",0,MONTH(TbRegistroSaídas[[#This Row],[Data do Caixa Previsto]]))</f>
        <v>3</v>
      </c>
      <c r="N81">
        <f>IF(TbRegistroSaídas[[#This Row],[Data do Caixa Previsto]]="",0,YEAR(TbRegistroSaídas[[#This Row],[Data do Caixa Previsto]]))</f>
        <v>2018</v>
      </c>
      <c r="O8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2" spans="2:15" x14ac:dyDescent="0.25">
      <c r="B82" s="8">
        <v>43168</v>
      </c>
      <c r="C82" s="8">
        <v>43168</v>
      </c>
      <c r="D82" s="8">
        <v>43168</v>
      </c>
      <c r="E82" t="s">
        <v>37</v>
      </c>
      <c r="F82" t="s">
        <v>33</v>
      </c>
      <c r="G82" t="s">
        <v>362</v>
      </c>
      <c r="H82" s="9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>
        <f>IF(TbRegistroSaídas[[#This Row],[Data do Caixa Previsto]]="",0,MONTH(TbRegistroSaídas[[#This Row],[Data do Caixa Previsto]]))</f>
        <v>3</v>
      </c>
      <c r="N82">
        <f>IF(TbRegistroSaídas[[#This Row],[Data do Caixa Previsto]]="",0,YEAR(TbRegistroSaídas[[#This Row],[Data do Caixa Previsto]]))</f>
        <v>2018</v>
      </c>
      <c r="O8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3" spans="2:15" x14ac:dyDescent="0.25">
      <c r="B83" s="8">
        <v>43173</v>
      </c>
      <c r="C83" s="8">
        <v>43173</v>
      </c>
      <c r="D83" s="8">
        <v>43173</v>
      </c>
      <c r="E83" t="s">
        <v>37</v>
      </c>
      <c r="F83" t="s">
        <v>44</v>
      </c>
      <c r="G83" t="s">
        <v>363</v>
      </c>
      <c r="H83" s="9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>
        <f>IF(TbRegistroSaídas[[#This Row],[Data do Caixa Previsto]]="",0,MONTH(TbRegistroSaídas[[#This Row],[Data do Caixa Previsto]]))</f>
        <v>3</v>
      </c>
      <c r="N83">
        <f>IF(TbRegistroSaídas[[#This Row],[Data do Caixa Previsto]]="",0,YEAR(TbRegistroSaídas[[#This Row],[Data do Caixa Previsto]]))</f>
        <v>2018</v>
      </c>
      <c r="O8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4" spans="2:15" x14ac:dyDescent="0.25">
      <c r="B84" s="8">
        <v>43201</v>
      </c>
      <c r="C84" s="8">
        <v>43176</v>
      </c>
      <c r="D84" s="8">
        <v>43201</v>
      </c>
      <c r="E84" t="s">
        <v>37</v>
      </c>
      <c r="F84" t="s">
        <v>31</v>
      </c>
      <c r="G84" t="s">
        <v>364</v>
      </c>
      <c r="H84" s="9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>
        <f>IF(TbRegistroSaídas[[#This Row],[Data do Caixa Previsto]]="",0,MONTH(TbRegistroSaídas[[#This Row],[Data do Caixa Previsto]]))</f>
        <v>4</v>
      </c>
      <c r="N84">
        <f>IF(TbRegistroSaídas[[#This Row],[Data do Caixa Previsto]]="",0,YEAR(TbRegistroSaídas[[#This Row],[Data do Caixa Previsto]]))</f>
        <v>2018</v>
      </c>
      <c r="O8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5" spans="2:15" x14ac:dyDescent="0.25">
      <c r="B85" s="8">
        <v>43272</v>
      </c>
      <c r="C85" s="8">
        <v>43180</v>
      </c>
      <c r="D85" s="8">
        <v>43191</v>
      </c>
      <c r="E85" t="s">
        <v>37</v>
      </c>
      <c r="F85" t="s">
        <v>31</v>
      </c>
      <c r="G85" t="s">
        <v>365</v>
      </c>
      <c r="H85" s="9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>
        <f>IF(TbRegistroSaídas[[#This Row],[Data do Caixa Previsto]]="",0,MONTH(TbRegistroSaídas[[#This Row],[Data do Caixa Previsto]]))</f>
        <v>4</v>
      </c>
      <c r="N85">
        <f>IF(TbRegistroSaídas[[#This Row],[Data do Caixa Previsto]]="",0,YEAR(TbRegistroSaídas[[#This Row],[Data do Caixa Previsto]]))</f>
        <v>2018</v>
      </c>
      <c r="O8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81</v>
      </c>
    </row>
    <row r="86" spans="2:15" x14ac:dyDescent="0.25">
      <c r="B86" s="8">
        <v>43187</v>
      </c>
      <c r="C86" s="8">
        <v>43183</v>
      </c>
      <c r="D86" s="8">
        <v>43187</v>
      </c>
      <c r="E86" t="s">
        <v>37</v>
      </c>
      <c r="F86" t="s">
        <v>44</v>
      </c>
      <c r="G86" t="s">
        <v>366</v>
      </c>
      <c r="H86" s="9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>
        <f>IF(TbRegistroSaídas[[#This Row],[Data do Caixa Previsto]]="",0,MONTH(TbRegistroSaídas[[#This Row],[Data do Caixa Previsto]]))</f>
        <v>3</v>
      </c>
      <c r="N86">
        <f>IF(TbRegistroSaídas[[#This Row],[Data do Caixa Previsto]]="",0,YEAR(TbRegistroSaídas[[#This Row],[Data do Caixa Previsto]]))</f>
        <v>2018</v>
      </c>
      <c r="O8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7" spans="2:15" x14ac:dyDescent="0.25">
      <c r="B87" s="8">
        <v>43184</v>
      </c>
      <c r="C87" s="8">
        <v>43184</v>
      </c>
      <c r="D87" s="8">
        <v>43184</v>
      </c>
      <c r="E87" t="s">
        <v>37</v>
      </c>
      <c r="F87" t="s">
        <v>31</v>
      </c>
      <c r="G87" t="s">
        <v>367</v>
      </c>
      <c r="H87" s="9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>
        <f>IF(TbRegistroSaídas[[#This Row],[Data do Caixa Previsto]]="",0,MONTH(TbRegistroSaídas[[#This Row],[Data do Caixa Previsto]]))</f>
        <v>3</v>
      </c>
      <c r="N87">
        <f>IF(TbRegistroSaídas[[#This Row],[Data do Caixa Previsto]]="",0,YEAR(TbRegistroSaídas[[#This Row],[Data do Caixa Previsto]]))</f>
        <v>2018</v>
      </c>
      <c r="O8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8" spans="2:15" x14ac:dyDescent="0.25">
      <c r="B88" s="8">
        <v>43234</v>
      </c>
      <c r="C88" s="8">
        <v>43191</v>
      </c>
      <c r="D88" s="8">
        <v>43234</v>
      </c>
      <c r="E88" t="s">
        <v>37</v>
      </c>
      <c r="F88" t="s">
        <v>31</v>
      </c>
      <c r="G88" t="s">
        <v>368</v>
      </c>
      <c r="H88" s="9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>
        <f>IF(TbRegistroSaídas[[#This Row],[Data do Caixa Previsto]]="",0,MONTH(TbRegistroSaídas[[#This Row],[Data do Caixa Previsto]]))</f>
        <v>5</v>
      </c>
      <c r="N88">
        <f>IF(TbRegistroSaídas[[#This Row],[Data do Caixa Previsto]]="",0,YEAR(TbRegistroSaídas[[#This Row],[Data do Caixa Previsto]]))</f>
        <v>2018</v>
      </c>
      <c r="O8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89" spans="2:15" x14ac:dyDescent="0.25">
      <c r="B89" s="8">
        <v>43202</v>
      </c>
      <c r="C89" s="8">
        <v>43193</v>
      </c>
      <c r="D89" s="8">
        <v>43202</v>
      </c>
      <c r="E89" t="s">
        <v>37</v>
      </c>
      <c r="F89" t="s">
        <v>32</v>
      </c>
      <c r="G89" t="s">
        <v>369</v>
      </c>
      <c r="H89" s="9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>
        <f>IF(TbRegistroSaídas[[#This Row],[Data do Caixa Previsto]]="",0,MONTH(TbRegistroSaídas[[#This Row],[Data do Caixa Previsto]]))</f>
        <v>4</v>
      </c>
      <c r="N89">
        <f>IF(TbRegistroSaídas[[#This Row],[Data do Caixa Previsto]]="",0,YEAR(TbRegistroSaídas[[#This Row],[Data do Caixa Previsto]]))</f>
        <v>2018</v>
      </c>
      <c r="O8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0" spans="2:15" x14ac:dyDescent="0.25">
      <c r="B90" s="8">
        <v>43195</v>
      </c>
      <c r="C90" s="8">
        <v>43195</v>
      </c>
      <c r="D90" s="8">
        <v>43195</v>
      </c>
      <c r="E90" t="s">
        <v>37</v>
      </c>
      <c r="F90" t="s">
        <v>33</v>
      </c>
      <c r="G90" t="s">
        <v>370</v>
      </c>
      <c r="H90" s="9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>
        <f>IF(TbRegistroSaídas[[#This Row],[Data do Caixa Previsto]]="",0,MONTH(TbRegistroSaídas[[#This Row],[Data do Caixa Previsto]]))</f>
        <v>4</v>
      </c>
      <c r="N90">
        <f>IF(TbRegistroSaídas[[#This Row],[Data do Caixa Previsto]]="",0,YEAR(TbRegistroSaídas[[#This Row],[Data do Caixa Previsto]]))</f>
        <v>2018</v>
      </c>
      <c r="O9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1" spans="2:15" x14ac:dyDescent="0.25">
      <c r="B91" s="8">
        <v>43196</v>
      </c>
      <c r="C91" s="8">
        <v>43196</v>
      </c>
      <c r="D91" s="8">
        <v>43196</v>
      </c>
      <c r="E91" t="s">
        <v>37</v>
      </c>
      <c r="F91" t="s">
        <v>44</v>
      </c>
      <c r="G91" t="s">
        <v>371</v>
      </c>
      <c r="H91" s="9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>
        <f>IF(TbRegistroSaídas[[#This Row],[Data do Caixa Previsto]]="",0,MONTH(TbRegistroSaídas[[#This Row],[Data do Caixa Previsto]]))</f>
        <v>4</v>
      </c>
      <c r="N91">
        <f>IF(TbRegistroSaídas[[#This Row],[Data do Caixa Previsto]]="",0,YEAR(TbRegistroSaídas[[#This Row],[Data do Caixa Previsto]]))</f>
        <v>2018</v>
      </c>
      <c r="O9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2" spans="2:15" x14ac:dyDescent="0.25">
      <c r="B92" s="8">
        <v>43240</v>
      </c>
      <c r="C92" s="8">
        <v>43200</v>
      </c>
      <c r="D92" s="8">
        <v>43240</v>
      </c>
      <c r="E92" t="s">
        <v>37</v>
      </c>
      <c r="F92" t="s">
        <v>33</v>
      </c>
      <c r="G92" t="s">
        <v>372</v>
      </c>
      <c r="H92" s="9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>
        <f>IF(TbRegistroSaídas[[#This Row],[Data do Caixa Previsto]]="",0,MONTH(TbRegistroSaídas[[#This Row],[Data do Caixa Previsto]]))</f>
        <v>5</v>
      </c>
      <c r="N92">
        <f>IF(TbRegistroSaídas[[#This Row],[Data do Caixa Previsto]]="",0,YEAR(TbRegistroSaídas[[#This Row],[Data do Caixa Previsto]]))</f>
        <v>2018</v>
      </c>
      <c r="O9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3" spans="2:15" x14ac:dyDescent="0.25">
      <c r="B93" s="8">
        <v>43206</v>
      </c>
      <c r="C93" s="8">
        <v>43206</v>
      </c>
      <c r="D93" s="8">
        <v>43206</v>
      </c>
      <c r="E93" t="s">
        <v>37</v>
      </c>
      <c r="F93" t="s">
        <v>44</v>
      </c>
      <c r="G93" t="s">
        <v>373</v>
      </c>
      <c r="H93" s="9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>
        <f>IF(TbRegistroSaídas[[#This Row],[Data do Caixa Previsto]]="",0,MONTH(TbRegistroSaídas[[#This Row],[Data do Caixa Previsto]]))</f>
        <v>4</v>
      </c>
      <c r="N93">
        <f>IF(TbRegistroSaídas[[#This Row],[Data do Caixa Previsto]]="",0,YEAR(TbRegistroSaídas[[#This Row],[Data do Caixa Previsto]]))</f>
        <v>2018</v>
      </c>
      <c r="O9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4" spans="2:15" x14ac:dyDescent="0.25">
      <c r="B94" s="8" t="s">
        <v>68</v>
      </c>
      <c r="C94" s="8">
        <v>43212</v>
      </c>
      <c r="D94" s="8">
        <v>43222</v>
      </c>
      <c r="E94" t="s">
        <v>37</v>
      </c>
      <c r="F94" t="s">
        <v>31</v>
      </c>
      <c r="G94" t="s">
        <v>374</v>
      </c>
      <c r="H94" s="9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>
        <f>IF(TbRegistroSaídas[[#This Row],[Data do Caixa Previsto]]="",0,MONTH(TbRegistroSaídas[[#This Row],[Data do Caixa Previsto]]))</f>
        <v>5</v>
      </c>
      <c r="N94">
        <f>IF(TbRegistroSaídas[[#This Row],[Data do Caixa Previsto]]="",0,YEAR(TbRegistroSaídas[[#This Row],[Data do Caixa Previsto]]))</f>
        <v>2018</v>
      </c>
      <c r="O9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1693</v>
      </c>
    </row>
    <row r="95" spans="2:15" x14ac:dyDescent="0.25">
      <c r="B95" s="8">
        <v>43218</v>
      </c>
      <c r="C95" s="8">
        <v>43218</v>
      </c>
      <c r="D95" s="8">
        <v>43218</v>
      </c>
      <c r="E95" t="s">
        <v>37</v>
      </c>
      <c r="F95" t="s">
        <v>33</v>
      </c>
      <c r="G95" t="s">
        <v>375</v>
      </c>
      <c r="H95" s="9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>
        <f>IF(TbRegistroSaídas[[#This Row],[Data do Caixa Previsto]]="",0,MONTH(TbRegistroSaídas[[#This Row],[Data do Caixa Previsto]]))</f>
        <v>4</v>
      </c>
      <c r="N95">
        <f>IF(TbRegistroSaídas[[#This Row],[Data do Caixa Previsto]]="",0,YEAR(TbRegistroSaídas[[#This Row],[Data do Caixa Previsto]]))</f>
        <v>2018</v>
      </c>
      <c r="O9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6" spans="2:15" x14ac:dyDescent="0.25">
      <c r="B96" s="8">
        <v>43223</v>
      </c>
      <c r="C96" s="8">
        <v>43219</v>
      </c>
      <c r="D96" s="8">
        <v>43223</v>
      </c>
      <c r="E96" t="s">
        <v>37</v>
      </c>
      <c r="F96" t="s">
        <v>33</v>
      </c>
      <c r="G96" t="s">
        <v>376</v>
      </c>
      <c r="H96" s="9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>
        <f>IF(TbRegistroSaídas[[#This Row],[Data do Caixa Previsto]]="",0,MONTH(TbRegistroSaídas[[#This Row],[Data do Caixa Previsto]]))</f>
        <v>5</v>
      </c>
      <c r="N96">
        <f>IF(TbRegistroSaídas[[#This Row],[Data do Caixa Previsto]]="",0,YEAR(TbRegistroSaídas[[#This Row],[Data do Caixa Previsto]]))</f>
        <v>2018</v>
      </c>
      <c r="O9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97" spans="2:15" x14ac:dyDescent="0.25">
      <c r="B97" s="8" t="s">
        <v>68</v>
      </c>
      <c r="C97" s="8">
        <v>43222</v>
      </c>
      <c r="D97" s="8">
        <v>43251</v>
      </c>
      <c r="E97" t="s">
        <v>37</v>
      </c>
      <c r="F97" t="s">
        <v>32</v>
      </c>
      <c r="G97" t="s">
        <v>377</v>
      </c>
      <c r="H97" s="9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>
        <f>IF(TbRegistroSaídas[[#This Row],[Data do Caixa Previsto]]="",0,MONTH(TbRegistroSaídas[[#This Row],[Data do Caixa Previsto]]))</f>
        <v>5</v>
      </c>
      <c r="N97">
        <f>IF(TbRegistroSaídas[[#This Row],[Data do Caixa Previsto]]="",0,YEAR(TbRegistroSaídas[[#This Row],[Data do Caixa Previsto]]))</f>
        <v>2018</v>
      </c>
      <c r="O9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1664</v>
      </c>
    </row>
    <row r="98" spans="2:15" x14ac:dyDescent="0.25">
      <c r="B98" s="8" t="s">
        <v>68</v>
      </c>
      <c r="C98" s="8">
        <v>43223</v>
      </c>
      <c r="D98" s="8">
        <v>43228</v>
      </c>
      <c r="E98" t="s">
        <v>37</v>
      </c>
      <c r="F98" t="s">
        <v>44</v>
      </c>
      <c r="G98" t="s">
        <v>378</v>
      </c>
      <c r="H98" s="9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>
        <f>IF(TbRegistroSaídas[[#This Row],[Data do Caixa Previsto]]="",0,MONTH(TbRegistroSaídas[[#This Row],[Data do Caixa Previsto]]))</f>
        <v>5</v>
      </c>
      <c r="N98">
        <f>IF(TbRegistroSaídas[[#This Row],[Data do Caixa Previsto]]="",0,YEAR(TbRegistroSaídas[[#This Row],[Data do Caixa Previsto]]))</f>
        <v>2018</v>
      </c>
      <c r="O9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1687</v>
      </c>
    </row>
    <row r="99" spans="2:15" x14ac:dyDescent="0.25">
      <c r="B99" s="8">
        <v>43264</v>
      </c>
      <c r="C99" s="8">
        <v>43230</v>
      </c>
      <c r="D99" s="8">
        <v>43264</v>
      </c>
      <c r="E99" t="s">
        <v>37</v>
      </c>
      <c r="F99" t="s">
        <v>31</v>
      </c>
      <c r="G99" t="s">
        <v>379</v>
      </c>
      <c r="H99" s="9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>
        <f>IF(TbRegistroSaídas[[#This Row],[Data do Caixa Previsto]]="",0,MONTH(TbRegistroSaídas[[#This Row],[Data do Caixa Previsto]]))</f>
        <v>6</v>
      </c>
      <c r="N99">
        <f>IF(TbRegistroSaídas[[#This Row],[Data do Caixa Previsto]]="",0,YEAR(TbRegistroSaídas[[#This Row],[Data do Caixa Previsto]]))</f>
        <v>2018</v>
      </c>
      <c r="O9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0" spans="2:15" x14ac:dyDescent="0.25">
      <c r="B100" s="8">
        <v>43278</v>
      </c>
      <c r="C100" s="8">
        <v>43235</v>
      </c>
      <c r="D100" s="8">
        <v>43278</v>
      </c>
      <c r="E100" t="s">
        <v>37</v>
      </c>
      <c r="F100" t="s">
        <v>35</v>
      </c>
      <c r="G100" t="s">
        <v>380</v>
      </c>
      <c r="H100" s="9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>
        <f>IF(TbRegistroSaídas[[#This Row],[Data do Caixa Previsto]]="",0,MONTH(TbRegistroSaídas[[#This Row],[Data do Caixa Previsto]]))</f>
        <v>6</v>
      </c>
      <c r="N100">
        <f>IF(TbRegistroSaídas[[#This Row],[Data do Caixa Previsto]]="",0,YEAR(TbRegistroSaídas[[#This Row],[Data do Caixa Previsto]]))</f>
        <v>2018</v>
      </c>
      <c r="O10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1" spans="2:15" x14ac:dyDescent="0.25">
      <c r="B101" s="8">
        <v>43238</v>
      </c>
      <c r="C101" s="8">
        <v>43238</v>
      </c>
      <c r="D101" s="8">
        <v>43238</v>
      </c>
      <c r="E101" t="s">
        <v>37</v>
      </c>
      <c r="F101" t="s">
        <v>44</v>
      </c>
      <c r="G101" t="s">
        <v>381</v>
      </c>
      <c r="H101" s="9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>
        <f>IF(TbRegistroSaídas[[#This Row],[Data do Caixa Previsto]]="",0,MONTH(TbRegistroSaídas[[#This Row],[Data do Caixa Previsto]]))</f>
        <v>5</v>
      </c>
      <c r="N101">
        <f>IF(TbRegistroSaídas[[#This Row],[Data do Caixa Previsto]]="",0,YEAR(TbRegistroSaídas[[#This Row],[Data do Caixa Previsto]]))</f>
        <v>2018</v>
      </c>
      <c r="O10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2" spans="2:15" x14ac:dyDescent="0.25">
      <c r="B102" s="8" t="s">
        <v>68</v>
      </c>
      <c r="C102" s="8">
        <v>43239</v>
      </c>
      <c r="D102" s="8">
        <v>43278</v>
      </c>
      <c r="E102" t="s">
        <v>37</v>
      </c>
      <c r="F102" t="s">
        <v>44</v>
      </c>
      <c r="G102" t="s">
        <v>382</v>
      </c>
      <c r="H102" s="9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>
        <f>IF(TbRegistroSaídas[[#This Row],[Data do Caixa Previsto]]="",0,MONTH(TbRegistroSaídas[[#This Row],[Data do Caixa Previsto]]))</f>
        <v>6</v>
      </c>
      <c r="N102">
        <f>IF(TbRegistroSaídas[[#This Row],[Data do Caixa Previsto]]="",0,YEAR(TbRegistroSaídas[[#This Row],[Data do Caixa Previsto]]))</f>
        <v>2018</v>
      </c>
      <c r="O10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1637</v>
      </c>
    </row>
    <row r="103" spans="2:15" x14ac:dyDescent="0.25">
      <c r="B103" s="8">
        <v>43282</v>
      </c>
      <c r="C103" s="8">
        <v>43246</v>
      </c>
      <c r="D103" s="8">
        <v>43282</v>
      </c>
      <c r="E103" t="s">
        <v>37</v>
      </c>
      <c r="F103" t="s">
        <v>44</v>
      </c>
      <c r="G103" t="s">
        <v>383</v>
      </c>
      <c r="H103" s="9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>
        <f>IF(TbRegistroSaídas[[#This Row],[Data do Caixa Previsto]]="",0,MONTH(TbRegistroSaídas[[#This Row],[Data do Caixa Previsto]]))</f>
        <v>7</v>
      </c>
      <c r="N103">
        <f>IF(TbRegistroSaídas[[#This Row],[Data do Caixa Previsto]]="",0,YEAR(TbRegistroSaídas[[#This Row],[Data do Caixa Previsto]]))</f>
        <v>2018</v>
      </c>
      <c r="O10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4" spans="2:15" x14ac:dyDescent="0.25">
      <c r="B104" s="8">
        <v>43306</v>
      </c>
      <c r="C104" s="8">
        <v>43248</v>
      </c>
      <c r="D104" s="8">
        <v>43306</v>
      </c>
      <c r="E104" t="s">
        <v>37</v>
      </c>
      <c r="F104" t="s">
        <v>35</v>
      </c>
      <c r="G104" t="s">
        <v>384</v>
      </c>
      <c r="H104" s="9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>
        <f>IF(TbRegistroSaídas[[#This Row],[Data do Caixa Previsto]]="",0,MONTH(TbRegistroSaídas[[#This Row],[Data do Caixa Previsto]]))</f>
        <v>7</v>
      </c>
      <c r="N104">
        <f>IF(TbRegistroSaídas[[#This Row],[Data do Caixa Previsto]]="",0,YEAR(TbRegistroSaídas[[#This Row],[Data do Caixa Previsto]]))</f>
        <v>2018</v>
      </c>
      <c r="O10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5" spans="2:15" x14ac:dyDescent="0.25">
      <c r="B105" s="8">
        <v>43292</v>
      </c>
      <c r="C105" s="8">
        <v>43251</v>
      </c>
      <c r="D105" s="8">
        <v>43292</v>
      </c>
      <c r="E105" t="s">
        <v>37</v>
      </c>
      <c r="F105" t="s">
        <v>32</v>
      </c>
      <c r="G105" t="s">
        <v>385</v>
      </c>
      <c r="H105" s="9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>
        <f>IF(TbRegistroSaídas[[#This Row],[Data do Caixa Previsto]]="",0,MONTH(TbRegistroSaídas[[#This Row],[Data do Caixa Previsto]]))</f>
        <v>7</v>
      </c>
      <c r="N105">
        <f>IF(TbRegistroSaídas[[#This Row],[Data do Caixa Previsto]]="",0,YEAR(TbRegistroSaídas[[#This Row],[Data do Caixa Previsto]]))</f>
        <v>2018</v>
      </c>
      <c r="O10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6" spans="2:15" x14ac:dyDescent="0.25">
      <c r="B106" s="8" t="s">
        <v>68</v>
      </c>
      <c r="C106" s="8">
        <v>43253</v>
      </c>
      <c r="D106" s="8">
        <v>43253</v>
      </c>
      <c r="E106" t="s">
        <v>37</v>
      </c>
      <c r="F106" t="s">
        <v>44</v>
      </c>
      <c r="G106" t="s">
        <v>386</v>
      </c>
      <c r="H106" s="9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>
        <f>IF(TbRegistroSaídas[[#This Row],[Data do Caixa Previsto]]="",0,MONTH(TbRegistroSaídas[[#This Row],[Data do Caixa Previsto]]))</f>
        <v>6</v>
      </c>
      <c r="N106">
        <f>IF(TbRegistroSaídas[[#This Row],[Data do Caixa Previsto]]="",0,YEAR(TbRegistroSaídas[[#This Row],[Data do Caixa Previsto]]))</f>
        <v>2018</v>
      </c>
      <c r="O10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1662</v>
      </c>
    </row>
    <row r="107" spans="2:15" x14ac:dyDescent="0.25">
      <c r="B107" s="8">
        <v>43259</v>
      </c>
      <c r="C107" s="8">
        <v>43255</v>
      </c>
      <c r="D107" s="8">
        <v>43259</v>
      </c>
      <c r="E107" t="s">
        <v>37</v>
      </c>
      <c r="F107" t="s">
        <v>44</v>
      </c>
      <c r="G107" t="s">
        <v>387</v>
      </c>
      <c r="H107" s="9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>
        <f>IF(TbRegistroSaídas[[#This Row],[Data do Caixa Previsto]]="",0,MONTH(TbRegistroSaídas[[#This Row],[Data do Caixa Previsto]]))</f>
        <v>6</v>
      </c>
      <c r="N107">
        <f>IF(TbRegistroSaídas[[#This Row],[Data do Caixa Previsto]]="",0,YEAR(TbRegistroSaídas[[#This Row],[Data do Caixa Previsto]]))</f>
        <v>2018</v>
      </c>
      <c r="O10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8" spans="2:15" x14ac:dyDescent="0.25">
      <c r="B108" s="8">
        <v>43256</v>
      </c>
      <c r="C108" s="8">
        <v>43256</v>
      </c>
      <c r="D108" s="8">
        <v>43256</v>
      </c>
      <c r="E108" t="s">
        <v>37</v>
      </c>
      <c r="F108" t="s">
        <v>32</v>
      </c>
      <c r="G108" t="s">
        <v>388</v>
      </c>
      <c r="H108" s="9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>
        <f>IF(TbRegistroSaídas[[#This Row],[Data do Caixa Previsto]]="",0,MONTH(TbRegistroSaídas[[#This Row],[Data do Caixa Previsto]]))</f>
        <v>6</v>
      </c>
      <c r="N108">
        <f>IF(TbRegistroSaídas[[#This Row],[Data do Caixa Previsto]]="",0,YEAR(TbRegistroSaídas[[#This Row],[Data do Caixa Previsto]]))</f>
        <v>2018</v>
      </c>
      <c r="O10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09" spans="2:15" x14ac:dyDescent="0.25">
      <c r="B109" s="8">
        <v>43306</v>
      </c>
      <c r="C109" s="8">
        <v>43258</v>
      </c>
      <c r="D109" s="8">
        <v>43306</v>
      </c>
      <c r="E109" t="s">
        <v>37</v>
      </c>
      <c r="F109" t="s">
        <v>44</v>
      </c>
      <c r="G109" t="s">
        <v>389</v>
      </c>
      <c r="H109" s="9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>
        <f>IF(TbRegistroSaídas[[#This Row],[Data do Caixa Previsto]]="",0,MONTH(TbRegistroSaídas[[#This Row],[Data do Caixa Previsto]]))</f>
        <v>7</v>
      </c>
      <c r="N109">
        <f>IF(TbRegistroSaídas[[#This Row],[Data do Caixa Previsto]]="",0,YEAR(TbRegistroSaídas[[#This Row],[Data do Caixa Previsto]]))</f>
        <v>2018</v>
      </c>
      <c r="O10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0" spans="2:15" x14ac:dyDescent="0.25">
      <c r="B110" s="8">
        <v>43262</v>
      </c>
      <c r="C110" s="8">
        <v>43262</v>
      </c>
      <c r="D110" s="8">
        <v>43262</v>
      </c>
      <c r="E110" t="s">
        <v>37</v>
      </c>
      <c r="F110" t="s">
        <v>31</v>
      </c>
      <c r="G110" t="s">
        <v>390</v>
      </c>
      <c r="H110" s="9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>
        <f>IF(TbRegistroSaídas[[#This Row],[Data do Caixa Previsto]]="",0,MONTH(TbRegistroSaídas[[#This Row],[Data do Caixa Previsto]]))</f>
        <v>6</v>
      </c>
      <c r="N110">
        <f>IF(TbRegistroSaídas[[#This Row],[Data do Caixa Previsto]]="",0,YEAR(TbRegistroSaídas[[#This Row],[Data do Caixa Previsto]]))</f>
        <v>2018</v>
      </c>
      <c r="O11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1" spans="2:15" x14ac:dyDescent="0.25">
      <c r="B111" s="8">
        <v>43309</v>
      </c>
      <c r="C111" s="8">
        <v>43268</v>
      </c>
      <c r="D111" s="8">
        <v>43309</v>
      </c>
      <c r="E111" t="s">
        <v>37</v>
      </c>
      <c r="F111" t="s">
        <v>35</v>
      </c>
      <c r="G111" t="s">
        <v>391</v>
      </c>
      <c r="H111" s="9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>
        <f>IF(TbRegistroSaídas[[#This Row],[Data do Caixa Previsto]]="",0,MONTH(TbRegistroSaídas[[#This Row],[Data do Caixa Previsto]]))</f>
        <v>7</v>
      </c>
      <c r="N111">
        <f>IF(TbRegistroSaídas[[#This Row],[Data do Caixa Previsto]]="",0,YEAR(TbRegistroSaídas[[#This Row],[Data do Caixa Previsto]]))</f>
        <v>2018</v>
      </c>
      <c r="O1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2" spans="2:15" x14ac:dyDescent="0.25">
      <c r="B112" s="8">
        <v>43271</v>
      </c>
      <c r="C112" s="8">
        <v>43271</v>
      </c>
      <c r="D112" s="8">
        <v>43271</v>
      </c>
      <c r="E112" t="s">
        <v>37</v>
      </c>
      <c r="F112" t="s">
        <v>32</v>
      </c>
      <c r="G112" t="s">
        <v>392</v>
      </c>
      <c r="H112" s="9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>
        <f>IF(TbRegistroSaídas[[#This Row],[Data do Caixa Previsto]]="",0,MONTH(TbRegistroSaídas[[#This Row],[Data do Caixa Previsto]]))</f>
        <v>6</v>
      </c>
      <c r="N112">
        <f>IF(TbRegistroSaídas[[#This Row],[Data do Caixa Previsto]]="",0,YEAR(TbRegistroSaídas[[#This Row],[Data do Caixa Previsto]]))</f>
        <v>2018</v>
      </c>
      <c r="O1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3" spans="2:15" x14ac:dyDescent="0.25">
      <c r="B113" s="8" t="s">
        <v>68</v>
      </c>
      <c r="C113" s="8">
        <v>43277</v>
      </c>
      <c r="D113" s="8">
        <v>43288</v>
      </c>
      <c r="E113" t="s">
        <v>37</v>
      </c>
      <c r="F113" t="s">
        <v>44</v>
      </c>
      <c r="G113" t="s">
        <v>393</v>
      </c>
      <c r="H113" s="9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>
        <f>IF(TbRegistroSaídas[[#This Row],[Data do Caixa Previsto]]="",0,MONTH(TbRegistroSaídas[[#This Row],[Data do Caixa Previsto]]))</f>
        <v>7</v>
      </c>
      <c r="N113">
        <f>IF(TbRegistroSaídas[[#This Row],[Data do Caixa Previsto]]="",0,YEAR(TbRegistroSaídas[[#This Row],[Data do Caixa Previsto]]))</f>
        <v>2018</v>
      </c>
      <c r="O11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1627</v>
      </c>
    </row>
    <row r="114" spans="2:15" x14ac:dyDescent="0.25">
      <c r="B114" s="8">
        <v>43336</v>
      </c>
      <c r="C114" s="8">
        <v>43280</v>
      </c>
      <c r="D114" s="8">
        <v>43336</v>
      </c>
      <c r="E114" t="s">
        <v>37</v>
      </c>
      <c r="F114" t="s">
        <v>32</v>
      </c>
      <c r="G114" t="s">
        <v>394</v>
      </c>
      <c r="H114" s="9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>
        <f>IF(TbRegistroSaídas[[#This Row],[Data do Caixa Previsto]]="",0,MONTH(TbRegistroSaídas[[#This Row],[Data do Caixa Previsto]]))</f>
        <v>8</v>
      </c>
      <c r="N114">
        <f>IF(TbRegistroSaídas[[#This Row],[Data do Caixa Previsto]]="",0,YEAR(TbRegistroSaídas[[#This Row],[Data do Caixa Previsto]]))</f>
        <v>2018</v>
      </c>
      <c r="O11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5" spans="2:15" x14ac:dyDescent="0.25">
      <c r="B115" s="8">
        <v>43290</v>
      </c>
      <c r="C115" s="8">
        <v>43283</v>
      </c>
      <c r="D115" s="8">
        <v>43290</v>
      </c>
      <c r="E115" t="s">
        <v>37</v>
      </c>
      <c r="F115" t="s">
        <v>35</v>
      </c>
      <c r="G115" t="s">
        <v>395</v>
      </c>
      <c r="H115" s="9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>
        <f>IF(TbRegistroSaídas[[#This Row],[Data do Caixa Previsto]]="",0,MONTH(TbRegistroSaídas[[#This Row],[Data do Caixa Previsto]]))</f>
        <v>7</v>
      </c>
      <c r="N115">
        <f>IF(TbRegistroSaídas[[#This Row],[Data do Caixa Previsto]]="",0,YEAR(TbRegistroSaídas[[#This Row],[Data do Caixa Previsto]]))</f>
        <v>2018</v>
      </c>
      <c r="O11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6" spans="2:15" x14ac:dyDescent="0.25">
      <c r="B116" s="8" t="s">
        <v>68</v>
      </c>
      <c r="C116" s="8">
        <v>43284</v>
      </c>
      <c r="D116" s="8">
        <v>43305</v>
      </c>
      <c r="E116" t="s">
        <v>37</v>
      </c>
      <c r="F116" t="s">
        <v>32</v>
      </c>
      <c r="G116" t="s">
        <v>396</v>
      </c>
      <c r="H116" s="9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>
        <f>IF(TbRegistroSaídas[[#This Row],[Data do Caixa Previsto]]="",0,MONTH(TbRegistroSaídas[[#This Row],[Data do Caixa Previsto]]))</f>
        <v>7</v>
      </c>
      <c r="N116">
        <f>IF(TbRegistroSaídas[[#This Row],[Data do Caixa Previsto]]="",0,YEAR(TbRegistroSaídas[[#This Row],[Data do Caixa Previsto]]))</f>
        <v>2018</v>
      </c>
      <c r="O11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1610</v>
      </c>
    </row>
    <row r="117" spans="2:15" x14ac:dyDescent="0.25">
      <c r="B117" s="8">
        <v>43305</v>
      </c>
      <c r="C117" s="8">
        <v>43289</v>
      </c>
      <c r="D117" s="8">
        <v>43305</v>
      </c>
      <c r="E117" t="s">
        <v>37</v>
      </c>
      <c r="F117" t="s">
        <v>32</v>
      </c>
      <c r="G117" t="s">
        <v>397</v>
      </c>
      <c r="H117" s="9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>
        <f>IF(TbRegistroSaídas[[#This Row],[Data do Caixa Previsto]]="",0,MONTH(TbRegistroSaídas[[#This Row],[Data do Caixa Previsto]]))</f>
        <v>7</v>
      </c>
      <c r="N117">
        <f>IF(TbRegistroSaídas[[#This Row],[Data do Caixa Previsto]]="",0,YEAR(TbRegistroSaídas[[#This Row],[Data do Caixa Previsto]]))</f>
        <v>2018</v>
      </c>
      <c r="O11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8" spans="2:15" x14ac:dyDescent="0.25">
      <c r="B118" s="8">
        <v>43313</v>
      </c>
      <c r="C118" s="8">
        <v>43291</v>
      </c>
      <c r="D118" s="8">
        <v>43313</v>
      </c>
      <c r="E118" t="s">
        <v>37</v>
      </c>
      <c r="F118" t="s">
        <v>35</v>
      </c>
      <c r="G118" t="s">
        <v>398</v>
      </c>
      <c r="H118" s="9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>
        <f>IF(TbRegistroSaídas[[#This Row],[Data do Caixa Previsto]]="",0,MONTH(TbRegistroSaídas[[#This Row],[Data do Caixa Previsto]]))</f>
        <v>8</v>
      </c>
      <c r="N118">
        <f>IF(TbRegistroSaídas[[#This Row],[Data do Caixa Previsto]]="",0,YEAR(TbRegistroSaídas[[#This Row],[Data do Caixa Previsto]]))</f>
        <v>2018</v>
      </c>
      <c r="O11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19" spans="2:15" x14ac:dyDescent="0.25">
      <c r="B119" s="8">
        <v>43296</v>
      </c>
      <c r="C119" s="8">
        <v>43296</v>
      </c>
      <c r="D119" s="8">
        <v>43296</v>
      </c>
      <c r="E119" t="s">
        <v>37</v>
      </c>
      <c r="F119" t="s">
        <v>44</v>
      </c>
      <c r="G119" t="s">
        <v>399</v>
      </c>
      <c r="H119" s="9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>
        <f>IF(TbRegistroSaídas[[#This Row],[Data do Caixa Previsto]]="",0,MONTH(TbRegistroSaídas[[#This Row],[Data do Caixa Previsto]]))</f>
        <v>7</v>
      </c>
      <c r="N119">
        <f>IF(TbRegistroSaídas[[#This Row],[Data do Caixa Previsto]]="",0,YEAR(TbRegistroSaídas[[#This Row],[Data do Caixa Previsto]]))</f>
        <v>2018</v>
      </c>
      <c r="O11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0" spans="2:15" x14ac:dyDescent="0.25">
      <c r="B120" s="8">
        <v>43350</v>
      </c>
      <c r="C120" s="8">
        <v>43297</v>
      </c>
      <c r="D120" s="8">
        <v>43297</v>
      </c>
      <c r="E120" t="s">
        <v>37</v>
      </c>
      <c r="F120" t="s">
        <v>33</v>
      </c>
      <c r="G120" t="s">
        <v>400</v>
      </c>
      <c r="H120" s="9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>
        <f>IF(TbRegistroSaídas[[#This Row],[Data do Caixa Previsto]]="",0,MONTH(TbRegistroSaídas[[#This Row],[Data do Caixa Previsto]]))</f>
        <v>7</v>
      </c>
      <c r="N120">
        <f>IF(TbRegistroSaídas[[#This Row],[Data do Caixa Previsto]]="",0,YEAR(TbRegistroSaídas[[#This Row],[Data do Caixa Previsto]]))</f>
        <v>2018</v>
      </c>
      <c r="O12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53</v>
      </c>
    </row>
    <row r="121" spans="2:15" x14ac:dyDescent="0.25">
      <c r="B121" s="8" t="s">
        <v>68</v>
      </c>
      <c r="C121" s="8">
        <v>43298</v>
      </c>
      <c r="D121" s="8">
        <v>43298</v>
      </c>
      <c r="E121" t="s">
        <v>37</v>
      </c>
      <c r="F121" t="s">
        <v>44</v>
      </c>
      <c r="G121" t="s">
        <v>401</v>
      </c>
      <c r="H121" s="9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>
        <f>IF(TbRegistroSaídas[[#This Row],[Data do Caixa Previsto]]="",0,MONTH(TbRegistroSaídas[[#This Row],[Data do Caixa Previsto]]))</f>
        <v>7</v>
      </c>
      <c r="N121">
        <f>IF(TbRegistroSaídas[[#This Row],[Data do Caixa Previsto]]="",0,YEAR(TbRegistroSaídas[[#This Row],[Data do Caixa Previsto]]))</f>
        <v>2018</v>
      </c>
      <c r="O12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1617</v>
      </c>
    </row>
    <row r="122" spans="2:15" x14ac:dyDescent="0.25">
      <c r="B122" s="8">
        <v>43357</v>
      </c>
      <c r="C122" s="8">
        <v>43300</v>
      </c>
      <c r="D122" s="8">
        <v>43357</v>
      </c>
      <c r="E122" t="s">
        <v>37</v>
      </c>
      <c r="F122" t="s">
        <v>35</v>
      </c>
      <c r="G122" t="s">
        <v>402</v>
      </c>
      <c r="H122" s="9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>
        <f>IF(TbRegistroSaídas[[#This Row],[Data do Caixa Previsto]]="",0,MONTH(TbRegistroSaídas[[#This Row],[Data do Caixa Previsto]]))</f>
        <v>9</v>
      </c>
      <c r="N122">
        <f>IF(TbRegistroSaídas[[#This Row],[Data do Caixa Previsto]]="",0,YEAR(TbRegistroSaídas[[#This Row],[Data do Caixa Previsto]]))</f>
        <v>2018</v>
      </c>
      <c r="O12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3" spans="2:15" x14ac:dyDescent="0.25">
      <c r="B123" s="8">
        <v>43324</v>
      </c>
      <c r="C123" s="8">
        <v>43302</v>
      </c>
      <c r="D123" s="8">
        <v>43324</v>
      </c>
      <c r="E123" t="s">
        <v>37</v>
      </c>
      <c r="F123" t="s">
        <v>32</v>
      </c>
      <c r="G123" t="s">
        <v>403</v>
      </c>
      <c r="H123" s="9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>
        <f>IF(TbRegistroSaídas[[#This Row],[Data do Caixa Previsto]]="",0,MONTH(TbRegistroSaídas[[#This Row],[Data do Caixa Previsto]]))</f>
        <v>8</v>
      </c>
      <c r="N123">
        <f>IF(TbRegistroSaídas[[#This Row],[Data do Caixa Previsto]]="",0,YEAR(TbRegistroSaídas[[#This Row],[Data do Caixa Previsto]]))</f>
        <v>2018</v>
      </c>
      <c r="O12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4" spans="2:15" x14ac:dyDescent="0.25">
      <c r="B124" s="8">
        <v>43309</v>
      </c>
      <c r="C124" s="8">
        <v>43309</v>
      </c>
      <c r="D124" s="8">
        <v>43309</v>
      </c>
      <c r="E124" t="s">
        <v>37</v>
      </c>
      <c r="F124" t="s">
        <v>44</v>
      </c>
      <c r="G124" t="s">
        <v>404</v>
      </c>
      <c r="H124" s="9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>
        <f>IF(TbRegistroSaídas[[#This Row],[Data do Caixa Previsto]]="",0,MONTH(TbRegistroSaídas[[#This Row],[Data do Caixa Previsto]]))</f>
        <v>7</v>
      </c>
      <c r="N124">
        <f>IF(TbRegistroSaídas[[#This Row],[Data do Caixa Previsto]]="",0,YEAR(TbRegistroSaídas[[#This Row],[Data do Caixa Previsto]]))</f>
        <v>2018</v>
      </c>
      <c r="O12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5" spans="2:15" x14ac:dyDescent="0.25">
      <c r="B125" s="8">
        <v>43311</v>
      </c>
      <c r="C125" s="8">
        <v>43311</v>
      </c>
      <c r="D125" s="8">
        <v>43311</v>
      </c>
      <c r="E125" t="s">
        <v>37</v>
      </c>
      <c r="F125" t="s">
        <v>32</v>
      </c>
      <c r="G125" t="s">
        <v>405</v>
      </c>
      <c r="H125" s="9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>
        <f>IF(TbRegistroSaídas[[#This Row],[Data do Caixa Previsto]]="",0,MONTH(TbRegistroSaídas[[#This Row],[Data do Caixa Previsto]]))</f>
        <v>7</v>
      </c>
      <c r="N125">
        <f>IF(TbRegistroSaídas[[#This Row],[Data do Caixa Previsto]]="",0,YEAR(TbRegistroSaídas[[#This Row],[Data do Caixa Previsto]]))</f>
        <v>2018</v>
      </c>
      <c r="O12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6" spans="2:15" x14ac:dyDescent="0.25">
      <c r="B126" s="8">
        <v>43314</v>
      </c>
      <c r="C126" s="8">
        <v>43313</v>
      </c>
      <c r="D126" s="8">
        <v>43314</v>
      </c>
      <c r="E126" t="s">
        <v>37</v>
      </c>
      <c r="F126" t="s">
        <v>33</v>
      </c>
      <c r="G126" t="s">
        <v>406</v>
      </c>
      <c r="H126" s="9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>
        <f>IF(TbRegistroSaídas[[#This Row],[Data do Caixa Previsto]]="",0,MONTH(TbRegistroSaídas[[#This Row],[Data do Caixa Previsto]]))</f>
        <v>8</v>
      </c>
      <c r="N126">
        <f>IF(TbRegistroSaídas[[#This Row],[Data do Caixa Previsto]]="",0,YEAR(TbRegistroSaídas[[#This Row],[Data do Caixa Previsto]]))</f>
        <v>2018</v>
      </c>
      <c r="O12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7" spans="2:15" x14ac:dyDescent="0.25">
      <c r="B127" s="8">
        <v>43375</v>
      </c>
      <c r="C127" s="8">
        <v>43319</v>
      </c>
      <c r="D127" s="8">
        <v>43375</v>
      </c>
      <c r="E127" t="s">
        <v>37</v>
      </c>
      <c r="F127" t="s">
        <v>31</v>
      </c>
      <c r="G127" t="s">
        <v>407</v>
      </c>
      <c r="H127" s="9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>
        <f>IF(TbRegistroSaídas[[#This Row],[Data do Caixa Previsto]]="",0,MONTH(TbRegistroSaídas[[#This Row],[Data do Caixa Previsto]]))</f>
        <v>10</v>
      </c>
      <c r="N127">
        <f>IF(TbRegistroSaídas[[#This Row],[Data do Caixa Previsto]]="",0,YEAR(TbRegistroSaídas[[#This Row],[Data do Caixa Previsto]]))</f>
        <v>2018</v>
      </c>
      <c r="O12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8" spans="2:15" x14ac:dyDescent="0.25">
      <c r="B128" s="8">
        <v>43368</v>
      </c>
      <c r="C128" s="8">
        <v>43322</v>
      </c>
      <c r="D128" s="8">
        <v>43368</v>
      </c>
      <c r="E128" t="s">
        <v>37</v>
      </c>
      <c r="F128" t="s">
        <v>35</v>
      </c>
      <c r="G128" t="s">
        <v>408</v>
      </c>
      <c r="H128" s="9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>
        <f>IF(TbRegistroSaídas[[#This Row],[Data do Caixa Previsto]]="",0,MONTH(TbRegistroSaídas[[#This Row],[Data do Caixa Previsto]]))</f>
        <v>9</v>
      </c>
      <c r="N128">
        <f>IF(TbRegistroSaídas[[#This Row],[Data do Caixa Previsto]]="",0,YEAR(TbRegistroSaídas[[#This Row],[Data do Caixa Previsto]]))</f>
        <v>2018</v>
      </c>
      <c r="O12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29" spans="2:15" x14ac:dyDescent="0.25">
      <c r="B129" s="8">
        <v>43366</v>
      </c>
      <c r="C129" s="8">
        <v>43324</v>
      </c>
      <c r="D129" s="8">
        <v>43366</v>
      </c>
      <c r="E129" t="s">
        <v>37</v>
      </c>
      <c r="F129" t="s">
        <v>31</v>
      </c>
      <c r="G129" t="s">
        <v>409</v>
      </c>
      <c r="H129" s="9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>
        <f>IF(TbRegistroSaídas[[#This Row],[Data do Caixa Previsto]]="",0,MONTH(TbRegistroSaídas[[#This Row],[Data do Caixa Previsto]]))</f>
        <v>9</v>
      </c>
      <c r="N129">
        <f>IF(TbRegistroSaídas[[#This Row],[Data do Caixa Previsto]]="",0,YEAR(TbRegistroSaídas[[#This Row],[Data do Caixa Previsto]]))</f>
        <v>2018</v>
      </c>
      <c r="O12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0" spans="2:15" x14ac:dyDescent="0.25">
      <c r="B130" s="8">
        <v>43356</v>
      </c>
      <c r="C130" s="8">
        <v>43327</v>
      </c>
      <c r="D130" s="8">
        <v>43356</v>
      </c>
      <c r="E130" t="s">
        <v>37</v>
      </c>
      <c r="F130" t="s">
        <v>32</v>
      </c>
      <c r="G130" t="s">
        <v>410</v>
      </c>
      <c r="H130" s="9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>
        <f>IF(TbRegistroSaídas[[#This Row],[Data do Caixa Previsto]]="",0,MONTH(TbRegistroSaídas[[#This Row],[Data do Caixa Previsto]]))</f>
        <v>9</v>
      </c>
      <c r="N130">
        <f>IF(TbRegistroSaídas[[#This Row],[Data do Caixa Previsto]]="",0,YEAR(TbRegistroSaídas[[#This Row],[Data do Caixa Previsto]]))</f>
        <v>2018</v>
      </c>
      <c r="O13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1" spans="2:15" x14ac:dyDescent="0.25">
      <c r="B131" s="8">
        <v>43359</v>
      </c>
      <c r="C131" s="8">
        <v>43334</v>
      </c>
      <c r="D131" s="8">
        <v>43359</v>
      </c>
      <c r="E131" t="s">
        <v>37</v>
      </c>
      <c r="F131" t="s">
        <v>44</v>
      </c>
      <c r="G131" t="s">
        <v>411</v>
      </c>
      <c r="H131" s="9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>
        <f>IF(TbRegistroSaídas[[#This Row],[Data do Caixa Previsto]]="",0,MONTH(TbRegistroSaídas[[#This Row],[Data do Caixa Previsto]]))</f>
        <v>9</v>
      </c>
      <c r="N131">
        <f>IF(TbRegistroSaídas[[#This Row],[Data do Caixa Previsto]]="",0,YEAR(TbRegistroSaídas[[#This Row],[Data do Caixa Previsto]]))</f>
        <v>2018</v>
      </c>
      <c r="O13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2" spans="2:15" x14ac:dyDescent="0.25">
      <c r="B132" s="8">
        <v>43352</v>
      </c>
      <c r="C132" s="8">
        <v>43335</v>
      </c>
      <c r="D132" s="8">
        <v>43352</v>
      </c>
      <c r="E132" t="s">
        <v>37</v>
      </c>
      <c r="F132" t="s">
        <v>31</v>
      </c>
      <c r="G132" t="s">
        <v>412</v>
      </c>
      <c r="H132" s="9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>
        <f>IF(TbRegistroSaídas[[#This Row],[Data do Caixa Previsto]]="",0,MONTH(TbRegistroSaídas[[#This Row],[Data do Caixa Previsto]]))</f>
        <v>9</v>
      </c>
      <c r="N132">
        <f>IF(TbRegistroSaídas[[#This Row],[Data do Caixa Previsto]]="",0,YEAR(TbRegistroSaídas[[#This Row],[Data do Caixa Previsto]]))</f>
        <v>2018</v>
      </c>
      <c r="O13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3" spans="2:15" x14ac:dyDescent="0.25">
      <c r="B133" s="8">
        <v>43340</v>
      </c>
      <c r="C133" s="8">
        <v>43340</v>
      </c>
      <c r="D133" s="8">
        <v>43340</v>
      </c>
      <c r="E133" t="s">
        <v>37</v>
      </c>
      <c r="F133" t="s">
        <v>35</v>
      </c>
      <c r="G133" t="s">
        <v>413</v>
      </c>
      <c r="H133" s="9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>
        <f>IF(TbRegistroSaídas[[#This Row],[Data do Caixa Previsto]]="",0,MONTH(TbRegistroSaídas[[#This Row],[Data do Caixa Previsto]]))</f>
        <v>8</v>
      </c>
      <c r="N133">
        <f>IF(TbRegistroSaídas[[#This Row],[Data do Caixa Previsto]]="",0,YEAR(TbRegistroSaídas[[#This Row],[Data do Caixa Previsto]]))</f>
        <v>2018</v>
      </c>
      <c r="O13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4" spans="2:15" x14ac:dyDescent="0.25">
      <c r="B134" s="8">
        <v>43370</v>
      </c>
      <c r="C134" s="8">
        <v>43346</v>
      </c>
      <c r="D134" s="8">
        <v>43370</v>
      </c>
      <c r="E134" t="s">
        <v>37</v>
      </c>
      <c r="F134" t="s">
        <v>44</v>
      </c>
      <c r="G134" t="s">
        <v>414</v>
      </c>
      <c r="H134" s="9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>
        <f>IF(TbRegistroSaídas[[#This Row],[Data do Caixa Previsto]]="",0,MONTH(TbRegistroSaídas[[#This Row],[Data do Caixa Previsto]]))</f>
        <v>9</v>
      </c>
      <c r="N134">
        <f>IF(TbRegistroSaídas[[#This Row],[Data do Caixa Previsto]]="",0,YEAR(TbRegistroSaídas[[#This Row],[Data do Caixa Previsto]]))</f>
        <v>2018</v>
      </c>
      <c r="O13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5" spans="2:15" x14ac:dyDescent="0.25">
      <c r="B135" s="8">
        <v>43402</v>
      </c>
      <c r="C135" s="8">
        <v>43350</v>
      </c>
      <c r="D135" s="8">
        <v>43402</v>
      </c>
      <c r="E135" t="s">
        <v>37</v>
      </c>
      <c r="F135" t="s">
        <v>31</v>
      </c>
      <c r="G135" t="s">
        <v>415</v>
      </c>
      <c r="H135" s="9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>
        <f>IF(TbRegistroSaídas[[#This Row],[Data do Caixa Previsto]]="",0,MONTH(TbRegistroSaídas[[#This Row],[Data do Caixa Previsto]]))</f>
        <v>10</v>
      </c>
      <c r="N135">
        <f>IF(TbRegistroSaídas[[#This Row],[Data do Caixa Previsto]]="",0,YEAR(TbRegistroSaídas[[#This Row],[Data do Caixa Previsto]]))</f>
        <v>2018</v>
      </c>
      <c r="O13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6" spans="2:15" x14ac:dyDescent="0.25">
      <c r="B136" s="8">
        <v>43381</v>
      </c>
      <c r="C136" s="8">
        <v>43351</v>
      </c>
      <c r="D136" s="8">
        <v>43381</v>
      </c>
      <c r="E136" t="s">
        <v>37</v>
      </c>
      <c r="F136" t="s">
        <v>44</v>
      </c>
      <c r="G136" t="s">
        <v>416</v>
      </c>
      <c r="H136" s="9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>
        <f>IF(TbRegistroSaídas[[#This Row],[Data do Caixa Previsto]]="",0,MONTH(TbRegistroSaídas[[#This Row],[Data do Caixa Previsto]]))</f>
        <v>10</v>
      </c>
      <c r="N136">
        <f>IF(TbRegistroSaídas[[#This Row],[Data do Caixa Previsto]]="",0,YEAR(TbRegistroSaídas[[#This Row],[Data do Caixa Previsto]]))</f>
        <v>2018</v>
      </c>
      <c r="O13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37" spans="2:15" x14ac:dyDescent="0.25">
      <c r="B137" s="8" t="s">
        <v>68</v>
      </c>
      <c r="C137" s="8">
        <v>43353</v>
      </c>
      <c r="D137" s="8">
        <v>43353</v>
      </c>
      <c r="E137" t="s">
        <v>37</v>
      </c>
      <c r="F137" t="s">
        <v>33</v>
      </c>
      <c r="G137" t="s">
        <v>417</v>
      </c>
      <c r="H137" s="9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>
        <f>IF(TbRegistroSaídas[[#This Row],[Data do Caixa Previsto]]="",0,MONTH(TbRegistroSaídas[[#This Row],[Data do Caixa Previsto]]))</f>
        <v>9</v>
      </c>
      <c r="N137">
        <f>IF(TbRegistroSaídas[[#This Row],[Data do Caixa Previsto]]="",0,YEAR(TbRegistroSaídas[[#This Row],[Data do Caixa Previsto]]))</f>
        <v>2018</v>
      </c>
      <c r="O13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1562</v>
      </c>
    </row>
    <row r="138" spans="2:15" x14ac:dyDescent="0.25">
      <c r="B138" s="8" t="s">
        <v>68</v>
      </c>
      <c r="C138" s="8">
        <v>43358</v>
      </c>
      <c r="D138" s="8">
        <v>43358</v>
      </c>
      <c r="E138" t="s">
        <v>37</v>
      </c>
      <c r="F138" t="s">
        <v>44</v>
      </c>
      <c r="G138" t="s">
        <v>418</v>
      </c>
      <c r="H138" s="9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>
        <f>IF(TbRegistroSaídas[[#This Row],[Data do Caixa Previsto]]="",0,MONTH(TbRegistroSaídas[[#This Row],[Data do Caixa Previsto]]))</f>
        <v>9</v>
      </c>
      <c r="N138">
        <f>IF(TbRegistroSaídas[[#This Row],[Data do Caixa Previsto]]="",0,YEAR(TbRegistroSaídas[[#This Row],[Data do Caixa Previsto]]))</f>
        <v>2018</v>
      </c>
      <c r="O13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1557</v>
      </c>
    </row>
    <row r="139" spans="2:15" x14ac:dyDescent="0.25">
      <c r="B139" s="8">
        <v>43405</v>
      </c>
      <c r="C139" s="8">
        <v>43358</v>
      </c>
      <c r="D139" s="8">
        <v>43405</v>
      </c>
      <c r="E139" t="s">
        <v>37</v>
      </c>
      <c r="F139" t="s">
        <v>44</v>
      </c>
      <c r="G139" t="s">
        <v>419</v>
      </c>
      <c r="H139" s="9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>
        <f>IF(TbRegistroSaídas[[#This Row],[Data do Caixa Previsto]]="",0,MONTH(TbRegistroSaídas[[#This Row],[Data do Caixa Previsto]]))</f>
        <v>11</v>
      </c>
      <c r="N139">
        <f>IF(TbRegistroSaídas[[#This Row],[Data do Caixa Previsto]]="",0,YEAR(TbRegistroSaídas[[#This Row],[Data do Caixa Previsto]]))</f>
        <v>2018</v>
      </c>
      <c r="O13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0" spans="2:15" x14ac:dyDescent="0.25">
      <c r="B140" s="8">
        <v>43377</v>
      </c>
      <c r="C140" s="8">
        <v>43362</v>
      </c>
      <c r="D140" s="8">
        <v>43377</v>
      </c>
      <c r="E140" t="s">
        <v>37</v>
      </c>
      <c r="F140" t="s">
        <v>35</v>
      </c>
      <c r="G140" t="s">
        <v>420</v>
      </c>
      <c r="H140" s="9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>
        <f>IF(TbRegistroSaídas[[#This Row],[Data do Caixa Previsto]]="",0,MONTH(TbRegistroSaídas[[#This Row],[Data do Caixa Previsto]]))</f>
        <v>10</v>
      </c>
      <c r="N140">
        <f>IF(TbRegistroSaídas[[#This Row],[Data do Caixa Previsto]]="",0,YEAR(TbRegistroSaídas[[#This Row],[Data do Caixa Previsto]]))</f>
        <v>2018</v>
      </c>
      <c r="O14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1" spans="2:15" x14ac:dyDescent="0.25">
      <c r="B141" s="8">
        <v>43375</v>
      </c>
      <c r="C141" s="8">
        <v>43367</v>
      </c>
      <c r="D141" s="8">
        <v>43375</v>
      </c>
      <c r="E141" t="s">
        <v>37</v>
      </c>
      <c r="F141" t="s">
        <v>31</v>
      </c>
      <c r="G141" t="s">
        <v>421</v>
      </c>
      <c r="H141" s="9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>
        <f>IF(TbRegistroSaídas[[#This Row],[Data do Caixa Previsto]]="",0,MONTH(TbRegistroSaídas[[#This Row],[Data do Caixa Previsto]]))</f>
        <v>10</v>
      </c>
      <c r="N141">
        <f>IF(TbRegistroSaídas[[#This Row],[Data do Caixa Previsto]]="",0,YEAR(TbRegistroSaídas[[#This Row],[Data do Caixa Previsto]]))</f>
        <v>2018</v>
      </c>
      <c r="O14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2" spans="2:15" x14ac:dyDescent="0.25">
      <c r="B142" s="8">
        <v>43422</v>
      </c>
      <c r="C142" s="8">
        <v>43371</v>
      </c>
      <c r="D142" s="8">
        <v>43422</v>
      </c>
      <c r="E142" t="s">
        <v>37</v>
      </c>
      <c r="F142" t="s">
        <v>32</v>
      </c>
      <c r="G142" t="s">
        <v>422</v>
      </c>
      <c r="H142" s="9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>
        <f>IF(TbRegistroSaídas[[#This Row],[Data do Caixa Previsto]]="",0,MONTH(TbRegistroSaídas[[#This Row],[Data do Caixa Previsto]]))</f>
        <v>11</v>
      </c>
      <c r="N142">
        <f>IF(TbRegistroSaídas[[#This Row],[Data do Caixa Previsto]]="",0,YEAR(TbRegistroSaídas[[#This Row],[Data do Caixa Previsto]]))</f>
        <v>2018</v>
      </c>
      <c r="O14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3" spans="2:15" x14ac:dyDescent="0.25">
      <c r="B143" s="8" t="s">
        <v>68</v>
      </c>
      <c r="C143" s="8">
        <v>43374</v>
      </c>
      <c r="D143" s="8">
        <v>43417</v>
      </c>
      <c r="E143" t="s">
        <v>37</v>
      </c>
      <c r="F143" t="s">
        <v>32</v>
      </c>
      <c r="G143" t="s">
        <v>423</v>
      </c>
      <c r="H143" s="9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>
        <f>IF(TbRegistroSaídas[[#This Row],[Data do Caixa Previsto]]="",0,MONTH(TbRegistroSaídas[[#This Row],[Data do Caixa Previsto]]))</f>
        <v>11</v>
      </c>
      <c r="N143">
        <f>IF(TbRegistroSaídas[[#This Row],[Data do Caixa Previsto]]="",0,YEAR(TbRegistroSaídas[[#This Row],[Data do Caixa Previsto]]))</f>
        <v>2018</v>
      </c>
      <c r="O14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1498</v>
      </c>
    </row>
    <row r="144" spans="2:15" x14ac:dyDescent="0.25">
      <c r="B144" s="8">
        <v>43377</v>
      </c>
      <c r="C144" s="8">
        <v>43377</v>
      </c>
      <c r="D144" s="8">
        <v>43377</v>
      </c>
      <c r="E144" t="s">
        <v>37</v>
      </c>
      <c r="F144" t="s">
        <v>35</v>
      </c>
      <c r="G144" t="s">
        <v>424</v>
      </c>
      <c r="H144" s="9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>
        <f>IF(TbRegistroSaídas[[#This Row],[Data do Caixa Previsto]]="",0,MONTH(TbRegistroSaídas[[#This Row],[Data do Caixa Previsto]]))</f>
        <v>10</v>
      </c>
      <c r="N144">
        <f>IF(TbRegistroSaídas[[#This Row],[Data do Caixa Previsto]]="",0,YEAR(TbRegistroSaídas[[#This Row],[Data do Caixa Previsto]]))</f>
        <v>2018</v>
      </c>
      <c r="O14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5" spans="2:15" x14ac:dyDescent="0.25">
      <c r="B145" s="8">
        <v>43389</v>
      </c>
      <c r="C145" s="8">
        <v>43383</v>
      </c>
      <c r="D145" s="8">
        <v>43389</v>
      </c>
      <c r="E145" t="s">
        <v>37</v>
      </c>
      <c r="F145" t="s">
        <v>31</v>
      </c>
      <c r="G145" t="s">
        <v>425</v>
      </c>
      <c r="H145" s="9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>
        <f>IF(TbRegistroSaídas[[#This Row],[Data do Caixa Previsto]]="",0,MONTH(TbRegistroSaídas[[#This Row],[Data do Caixa Previsto]]))</f>
        <v>10</v>
      </c>
      <c r="N145">
        <f>IF(TbRegistroSaídas[[#This Row],[Data do Caixa Previsto]]="",0,YEAR(TbRegistroSaídas[[#This Row],[Data do Caixa Previsto]]))</f>
        <v>2018</v>
      </c>
      <c r="O14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6" spans="2:15" x14ac:dyDescent="0.25">
      <c r="B146" s="8">
        <v>43468</v>
      </c>
      <c r="C146" s="8">
        <v>43385</v>
      </c>
      <c r="D146" s="8">
        <v>43404</v>
      </c>
      <c r="E146" t="s">
        <v>37</v>
      </c>
      <c r="F146" t="s">
        <v>31</v>
      </c>
      <c r="G146" t="s">
        <v>426</v>
      </c>
      <c r="H146" s="9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>
        <f>IF(TbRegistroSaídas[[#This Row],[Data do Caixa Previsto]]="",0,MONTH(TbRegistroSaídas[[#This Row],[Data do Caixa Previsto]]))</f>
        <v>10</v>
      </c>
      <c r="N146">
        <f>IF(TbRegistroSaídas[[#This Row],[Data do Caixa Previsto]]="",0,YEAR(TbRegistroSaídas[[#This Row],[Data do Caixa Previsto]]))</f>
        <v>2018</v>
      </c>
      <c r="O14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64</v>
      </c>
    </row>
    <row r="147" spans="2:15" x14ac:dyDescent="0.25">
      <c r="B147" s="8">
        <v>43448</v>
      </c>
      <c r="C147" s="8">
        <v>43387</v>
      </c>
      <c r="D147" s="8">
        <v>43387</v>
      </c>
      <c r="E147" t="s">
        <v>37</v>
      </c>
      <c r="F147" t="s">
        <v>33</v>
      </c>
      <c r="G147" t="s">
        <v>427</v>
      </c>
      <c r="H147" s="9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>
        <f>IF(TbRegistroSaídas[[#This Row],[Data do Caixa Previsto]]="",0,MONTH(TbRegistroSaídas[[#This Row],[Data do Caixa Previsto]]))</f>
        <v>10</v>
      </c>
      <c r="N147">
        <f>IF(TbRegistroSaídas[[#This Row],[Data do Caixa Previsto]]="",0,YEAR(TbRegistroSaídas[[#This Row],[Data do Caixa Previsto]]))</f>
        <v>2018</v>
      </c>
      <c r="O14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61</v>
      </c>
    </row>
    <row r="148" spans="2:15" x14ac:dyDescent="0.25">
      <c r="B148" s="8">
        <v>43449</v>
      </c>
      <c r="C148" s="8">
        <v>43393</v>
      </c>
      <c r="D148" s="8">
        <v>43449</v>
      </c>
      <c r="E148" t="s">
        <v>37</v>
      </c>
      <c r="F148" t="s">
        <v>33</v>
      </c>
      <c r="G148" t="s">
        <v>428</v>
      </c>
      <c r="H148" s="9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>
        <f>IF(TbRegistroSaídas[[#This Row],[Data do Caixa Previsto]]="",0,MONTH(TbRegistroSaídas[[#This Row],[Data do Caixa Previsto]]))</f>
        <v>12</v>
      </c>
      <c r="N148">
        <f>IF(TbRegistroSaídas[[#This Row],[Data do Caixa Previsto]]="",0,YEAR(TbRegistroSaídas[[#This Row],[Data do Caixa Previsto]]))</f>
        <v>2018</v>
      </c>
      <c r="O14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49" spans="2:15" x14ac:dyDescent="0.25">
      <c r="B149" s="8">
        <v>43394</v>
      </c>
      <c r="C149" s="8">
        <v>43394</v>
      </c>
      <c r="D149" s="8">
        <v>43394</v>
      </c>
      <c r="E149" t="s">
        <v>37</v>
      </c>
      <c r="F149" t="s">
        <v>44</v>
      </c>
      <c r="G149" t="s">
        <v>429</v>
      </c>
      <c r="H149" s="9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>
        <f>IF(TbRegistroSaídas[[#This Row],[Data do Caixa Previsto]]="",0,MONTH(TbRegistroSaídas[[#This Row],[Data do Caixa Previsto]]))</f>
        <v>10</v>
      </c>
      <c r="N149">
        <f>IF(TbRegistroSaídas[[#This Row],[Data do Caixa Previsto]]="",0,YEAR(TbRegistroSaídas[[#This Row],[Data do Caixa Previsto]]))</f>
        <v>2018</v>
      </c>
      <c r="O14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0" spans="2:15" x14ac:dyDescent="0.25">
      <c r="B150" s="8">
        <v>43449</v>
      </c>
      <c r="C150" s="8">
        <v>43398</v>
      </c>
      <c r="D150" s="8">
        <v>43449</v>
      </c>
      <c r="E150" t="s">
        <v>37</v>
      </c>
      <c r="F150" t="s">
        <v>44</v>
      </c>
      <c r="G150" t="s">
        <v>430</v>
      </c>
      <c r="H150" s="9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>
        <f>IF(TbRegistroSaídas[[#This Row],[Data do Caixa Previsto]]="",0,MONTH(TbRegistroSaídas[[#This Row],[Data do Caixa Previsto]]))</f>
        <v>12</v>
      </c>
      <c r="N150">
        <f>IF(TbRegistroSaídas[[#This Row],[Data do Caixa Previsto]]="",0,YEAR(TbRegistroSaídas[[#This Row],[Data do Caixa Previsto]]))</f>
        <v>2018</v>
      </c>
      <c r="O15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1" spans="2:15" x14ac:dyDescent="0.25">
      <c r="B151" s="8">
        <v>43424</v>
      </c>
      <c r="C151" s="8">
        <v>43400</v>
      </c>
      <c r="D151" s="8">
        <v>43424</v>
      </c>
      <c r="E151" t="s">
        <v>37</v>
      </c>
      <c r="F151" t="s">
        <v>33</v>
      </c>
      <c r="G151" t="s">
        <v>431</v>
      </c>
      <c r="H151" s="9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>
        <f>IF(TbRegistroSaídas[[#This Row],[Data do Caixa Previsto]]="",0,MONTH(TbRegistroSaídas[[#This Row],[Data do Caixa Previsto]]))</f>
        <v>11</v>
      </c>
      <c r="N151">
        <f>IF(TbRegistroSaídas[[#This Row],[Data do Caixa Previsto]]="",0,YEAR(TbRegistroSaídas[[#This Row],[Data do Caixa Previsto]]))</f>
        <v>2018</v>
      </c>
      <c r="O15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2" spans="2:15" x14ac:dyDescent="0.25">
      <c r="B152" s="8">
        <v>43403</v>
      </c>
      <c r="C152" s="8">
        <v>43403</v>
      </c>
      <c r="D152" s="8">
        <v>43403</v>
      </c>
      <c r="E152" t="s">
        <v>37</v>
      </c>
      <c r="F152" t="s">
        <v>31</v>
      </c>
      <c r="G152" t="s">
        <v>432</v>
      </c>
      <c r="H152" s="9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>
        <f>IF(TbRegistroSaídas[[#This Row],[Data do Caixa Previsto]]="",0,MONTH(TbRegistroSaídas[[#This Row],[Data do Caixa Previsto]]))</f>
        <v>10</v>
      </c>
      <c r="N152">
        <f>IF(TbRegistroSaídas[[#This Row],[Data do Caixa Previsto]]="",0,YEAR(TbRegistroSaídas[[#This Row],[Data do Caixa Previsto]]))</f>
        <v>2018</v>
      </c>
      <c r="O15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3" spans="2:15" x14ac:dyDescent="0.25">
      <c r="B153" s="8">
        <v>43461</v>
      </c>
      <c r="C153" s="8">
        <v>43405</v>
      </c>
      <c r="D153" s="8">
        <v>43461</v>
      </c>
      <c r="E153" t="s">
        <v>37</v>
      </c>
      <c r="F153" t="s">
        <v>44</v>
      </c>
      <c r="G153" t="s">
        <v>433</v>
      </c>
      <c r="H153" s="9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>
        <f>IF(TbRegistroSaídas[[#This Row],[Data do Caixa Previsto]]="",0,MONTH(TbRegistroSaídas[[#This Row],[Data do Caixa Previsto]]))</f>
        <v>12</v>
      </c>
      <c r="N153">
        <f>IF(TbRegistroSaídas[[#This Row],[Data do Caixa Previsto]]="",0,YEAR(TbRegistroSaídas[[#This Row],[Data do Caixa Previsto]]))</f>
        <v>2018</v>
      </c>
      <c r="O15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4" spans="2:15" x14ac:dyDescent="0.25">
      <c r="B154" s="8">
        <v>43466</v>
      </c>
      <c r="C154" s="8">
        <v>43407</v>
      </c>
      <c r="D154" s="8">
        <v>43466</v>
      </c>
      <c r="E154" t="s">
        <v>37</v>
      </c>
      <c r="F154" t="s">
        <v>31</v>
      </c>
      <c r="G154" t="s">
        <v>351</v>
      </c>
      <c r="H154" s="9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>
        <f>IF(TbRegistroSaídas[[#This Row],[Data do Caixa Previsto]]="",0,MONTH(TbRegistroSaídas[[#This Row],[Data do Caixa Previsto]]))</f>
        <v>1</v>
      </c>
      <c r="N154">
        <f>IF(TbRegistroSaídas[[#This Row],[Data do Caixa Previsto]]="",0,YEAR(TbRegistroSaídas[[#This Row],[Data do Caixa Previsto]]))</f>
        <v>2019</v>
      </c>
      <c r="O15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5" spans="2:15" x14ac:dyDescent="0.25">
      <c r="B155" s="8">
        <v>43446</v>
      </c>
      <c r="C155" s="8">
        <v>43412</v>
      </c>
      <c r="D155" s="8">
        <v>43446</v>
      </c>
      <c r="E155" t="s">
        <v>37</v>
      </c>
      <c r="F155" t="s">
        <v>44</v>
      </c>
      <c r="G155" t="s">
        <v>434</v>
      </c>
      <c r="H155" s="9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>
        <f>IF(TbRegistroSaídas[[#This Row],[Data do Caixa Previsto]]="",0,MONTH(TbRegistroSaídas[[#This Row],[Data do Caixa Previsto]]))</f>
        <v>12</v>
      </c>
      <c r="N155">
        <f>IF(TbRegistroSaídas[[#This Row],[Data do Caixa Previsto]]="",0,YEAR(TbRegistroSaídas[[#This Row],[Data do Caixa Previsto]]))</f>
        <v>2018</v>
      </c>
      <c r="O15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6" spans="2:15" x14ac:dyDescent="0.25">
      <c r="B156" s="8">
        <v>43485</v>
      </c>
      <c r="C156" s="8">
        <v>43415</v>
      </c>
      <c r="D156" s="8">
        <v>43474</v>
      </c>
      <c r="E156" t="s">
        <v>37</v>
      </c>
      <c r="F156" t="s">
        <v>32</v>
      </c>
      <c r="G156" t="s">
        <v>435</v>
      </c>
      <c r="H156" s="9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>
        <f>IF(TbRegistroSaídas[[#This Row],[Data do Caixa Previsto]]="",0,MONTH(TbRegistroSaídas[[#This Row],[Data do Caixa Previsto]]))</f>
        <v>1</v>
      </c>
      <c r="N156">
        <f>IF(TbRegistroSaídas[[#This Row],[Data do Caixa Previsto]]="",0,YEAR(TbRegistroSaídas[[#This Row],[Data do Caixa Previsto]]))</f>
        <v>2019</v>
      </c>
      <c r="O15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11</v>
      </c>
    </row>
    <row r="157" spans="2:15" x14ac:dyDescent="0.25">
      <c r="B157" s="8" t="s">
        <v>68</v>
      </c>
      <c r="C157" s="8">
        <v>43417</v>
      </c>
      <c r="D157" s="8">
        <v>43417</v>
      </c>
      <c r="E157" t="s">
        <v>37</v>
      </c>
      <c r="F157" t="s">
        <v>44</v>
      </c>
      <c r="G157" t="s">
        <v>436</v>
      </c>
      <c r="H157" s="9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>
        <f>IF(TbRegistroSaídas[[#This Row],[Data do Caixa Previsto]]="",0,MONTH(TbRegistroSaídas[[#This Row],[Data do Caixa Previsto]]))</f>
        <v>11</v>
      </c>
      <c r="N157">
        <f>IF(TbRegistroSaídas[[#This Row],[Data do Caixa Previsto]]="",0,YEAR(TbRegistroSaídas[[#This Row],[Data do Caixa Previsto]]))</f>
        <v>2018</v>
      </c>
      <c r="O15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1498</v>
      </c>
    </row>
    <row r="158" spans="2:15" x14ac:dyDescent="0.25">
      <c r="B158" s="8">
        <v>43451</v>
      </c>
      <c r="C158" s="8">
        <v>43421</v>
      </c>
      <c r="D158" s="8">
        <v>43451</v>
      </c>
      <c r="E158" t="s">
        <v>37</v>
      </c>
      <c r="F158" t="s">
        <v>32</v>
      </c>
      <c r="G158" t="s">
        <v>437</v>
      </c>
      <c r="H158" s="9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>
        <f>IF(TbRegistroSaídas[[#This Row],[Data do Caixa Previsto]]="",0,MONTH(TbRegistroSaídas[[#This Row],[Data do Caixa Previsto]]))</f>
        <v>12</v>
      </c>
      <c r="N158">
        <f>IF(TbRegistroSaídas[[#This Row],[Data do Caixa Previsto]]="",0,YEAR(TbRegistroSaídas[[#This Row],[Data do Caixa Previsto]]))</f>
        <v>2018</v>
      </c>
      <c r="O15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59" spans="2:15" x14ac:dyDescent="0.25">
      <c r="B159" s="8">
        <v>43431</v>
      </c>
      <c r="C159" s="8">
        <v>43421</v>
      </c>
      <c r="D159" s="8">
        <v>43421</v>
      </c>
      <c r="E159" t="s">
        <v>37</v>
      </c>
      <c r="F159" t="s">
        <v>44</v>
      </c>
      <c r="G159" t="s">
        <v>438</v>
      </c>
      <c r="H159" s="9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>
        <f>IF(TbRegistroSaídas[[#This Row],[Data do Caixa Previsto]]="",0,MONTH(TbRegistroSaídas[[#This Row],[Data do Caixa Previsto]]))</f>
        <v>11</v>
      </c>
      <c r="N159">
        <f>IF(TbRegistroSaídas[[#This Row],[Data do Caixa Previsto]]="",0,YEAR(TbRegistroSaídas[[#This Row],[Data do Caixa Previsto]]))</f>
        <v>2018</v>
      </c>
      <c r="O15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10</v>
      </c>
    </row>
    <row r="160" spans="2:15" x14ac:dyDescent="0.25">
      <c r="B160" s="8">
        <v>43424</v>
      </c>
      <c r="C160" s="8">
        <v>43424</v>
      </c>
      <c r="D160" s="8">
        <v>43424</v>
      </c>
      <c r="E160" t="s">
        <v>37</v>
      </c>
      <c r="F160" t="s">
        <v>32</v>
      </c>
      <c r="G160" t="s">
        <v>439</v>
      </c>
      <c r="H160" s="9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>
        <f>IF(TbRegistroSaídas[[#This Row],[Data do Caixa Previsto]]="",0,MONTH(TbRegistroSaídas[[#This Row],[Data do Caixa Previsto]]))</f>
        <v>11</v>
      </c>
      <c r="N160">
        <f>IF(TbRegistroSaídas[[#This Row],[Data do Caixa Previsto]]="",0,YEAR(TbRegistroSaídas[[#This Row],[Data do Caixa Previsto]]))</f>
        <v>2018</v>
      </c>
      <c r="O16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1" spans="2:15" x14ac:dyDescent="0.25">
      <c r="B161" s="8">
        <v>43430</v>
      </c>
      <c r="C161" s="8">
        <v>43430</v>
      </c>
      <c r="D161" s="8">
        <v>43430</v>
      </c>
      <c r="E161" t="s">
        <v>37</v>
      </c>
      <c r="F161" t="s">
        <v>44</v>
      </c>
      <c r="G161" t="s">
        <v>440</v>
      </c>
      <c r="H161" s="9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>
        <f>IF(TbRegistroSaídas[[#This Row],[Data do Caixa Previsto]]="",0,MONTH(TbRegistroSaídas[[#This Row],[Data do Caixa Previsto]]))</f>
        <v>11</v>
      </c>
      <c r="N161">
        <f>IF(TbRegistroSaídas[[#This Row],[Data do Caixa Previsto]]="",0,YEAR(TbRegistroSaídas[[#This Row],[Data do Caixa Previsto]]))</f>
        <v>2018</v>
      </c>
      <c r="O16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2" spans="2:15" x14ac:dyDescent="0.25">
      <c r="B162" s="8">
        <v>43433</v>
      </c>
      <c r="C162" s="8">
        <v>43433</v>
      </c>
      <c r="D162" s="8">
        <v>43433</v>
      </c>
      <c r="E162" t="s">
        <v>37</v>
      </c>
      <c r="F162" t="s">
        <v>32</v>
      </c>
      <c r="G162" t="s">
        <v>441</v>
      </c>
      <c r="H162" s="9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>
        <f>IF(TbRegistroSaídas[[#This Row],[Data do Caixa Previsto]]="",0,MONTH(TbRegistroSaídas[[#This Row],[Data do Caixa Previsto]]))</f>
        <v>11</v>
      </c>
      <c r="N162">
        <f>IF(TbRegistroSaídas[[#This Row],[Data do Caixa Previsto]]="",0,YEAR(TbRegistroSaídas[[#This Row],[Data do Caixa Previsto]]))</f>
        <v>2018</v>
      </c>
      <c r="O16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3" spans="2:15" x14ac:dyDescent="0.25">
      <c r="B163" s="8">
        <v>43485</v>
      </c>
      <c r="C163" s="8">
        <v>43436</v>
      </c>
      <c r="D163" s="8">
        <v>43485</v>
      </c>
      <c r="E163" t="s">
        <v>37</v>
      </c>
      <c r="F163" t="s">
        <v>44</v>
      </c>
      <c r="G163" t="s">
        <v>442</v>
      </c>
      <c r="H163" s="9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>
        <f>IF(TbRegistroSaídas[[#This Row],[Data do Caixa Previsto]]="",0,MONTH(TbRegistroSaídas[[#This Row],[Data do Caixa Previsto]]))</f>
        <v>1</v>
      </c>
      <c r="N163">
        <f>IF(TbRegistroSaídas[[#This Row],[Data do Caixa Previsto]]="",0,YEAR(TbRegistroSaídas[[#This Row],[Data do Caixa Previsto]]))</f>
        <v>2019</v>
      </c>
      <c r="O16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4" spans="2:15" x14ac:dyDescent="0.25">
      <c r="B164" s="8">
        <v>43494</v>
      </c>
      <c r="C164" s="8">
        <v>43438</v>
      </c>
      <c r="D164" s="8">
        <v>43494</v>
      </c>
      <c r="E164" t="s">
        <v>37</v>
      </c>
      <c r="F164" t="s">
        <v>44</v>
      </c>
      <c r="G164" t="s">
        <v>443</v>
      </c>
      <c r="H164" s="9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>
        <f>IF(TbRegistroSaídas[[#This Row],[Data do Caixa Previsto]]="",0,MONTH(TbRegistroSaídas[[#This Row],[Data do Caixa Previsto]]))</f>
        <v>1</v>
      </c>
      <c r="N164">
        <f>IF(TbRegistroSaídas[[#This Row],[Data do Caixa Previsto]]="",0,YEAR(TbRegistroSaídas[[#This Row],[Data do Caixa Previsto]]))</f>
        <v>2019</v>
      </c>
      <c r="O16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5" spans="2:15" x14ac:dyDescent="0.25">
      <c r="B165" s="8">
        <v>43465</v>
      </c>
      <c r="C165" s="8">
        <v>43443</v>
      </c>
      <c r="D165" s="8">
        <v>43465</v>
      </c>
      <c r="E165" t="s">
        <v>37</v>
      </c>
      <c r="F165" t="s">
        <v>44</v>
      </c>
      <c r="G165" t="s">
        <v>444</v>
      </c>
      <c r="H165" s="9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>
        <f>IF(TbRegistroSaídas[[#This Row],[Data do Caixa Previsto]]="",0,MONTH(TbRegistroSaídas[[#This Row],[Data do Caixa Previsto]]))</f>
        <v>12</v>
      </c>
      <c r="N165">
        <f>IF(TbRegistroSaídas[[#This Row],[Data do Caixa Previsto]]="",0,YEAR(TbRegistroSaídas[[#This Row],[Data do Caixa Previsto]]))</f>
        <v>2018</v>
      </c>
      <c r="O16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6" spans="2:15" x14ac:dyDescent="0.25">
      <c r="B166" s="8">
        <v>43444</v>
      </c>
      <c r="C166" s="8">
        <v>43444</v>
      </c>
      <c r="D166" s="8">
        <v>43444</v>
      </c>
      <c r="E166" t="s">
        <v>37</v>
      </c>
      <c r="F166" t="s">
        <v>31</v>
      </c>
      <c r="G166" t="s">
        <v>445</v>
      </c>
      <c r="H166" s="9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>
        <f>IF(TbRegistroSaídas[[#This Row],[Data do Caixa Previsto]]="",0,MONTH(TbRegistroSaídas[[#This Row],[Data do Caixa Previsto]]))</f>
        <v>12</v>
      </c>
      <c r="N166">
        <f>IF(TbRegistroSaídas[[#This Row],[Data do Caixa Previsto]]="",0,YEAR(TbRegistroSaídas[[#This Row],[Data do Caixa Previsto]]))</f>
        <v>2018</v>
      </c>
      <c r="O16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7" spans="2:15" x14ac:dyDescent="0.25">
      <c r="B167" s="8" t="s">
        <v>68</v>
      </c>
      <c r="C167" s="8">
        <v>43448</v>
      </c>
      <c r="D167" s="8">
        <v>43480</v>
      </c>
      <c r="E167" t="s">
        <v>37</v>
      </c>
      <c r="F167" t="s">
        <v>44</v>
      </c>
      <c r="G167" t="s">
        <v>446</v>
      </c>
      <c r="H167" s="9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>
        <f>IF(TbRegistroSaídas[[#This Row],[Data do Caixa Previsto]]="",0,MONTH(TbRegistroSaídas[[#This Row],[Data do Caixa Previsto]]))</f>
        <v>1</v>
      </c>
      <c r="N167">
        <f>IF(TbRegistroSaídas[[#This Row],[Data do Caixa Previsto]]="",0,YEAR(TbRegistroSaídas[[#This Row],[Data do Caixa Previsto]]))</f>
        <v>2019</v>
      </c>
      <c r="O16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1435</v>
      </c>
    </row>
    <row r="168" spans="2:15" x14ac:dyDescent="0.25">
      <c r="B168" s="8">
        <v>43449</v>
      </c>
      <c r="C168" s="8">
        <v>43449</v>
      </c>
      <c r="D168" s="8">
        <v>43449</v>
      </c>
      <c r="E168" t="s">
        <v>37</v>
      </c>
      <c r="F168" t="s">
        <v>44</v>
      </c>
      <c r="G168" t="s">
        <v>447</v>
      </c>
      <c r="H168" s="9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>
        <f>IF(TbRegistroSaídas[[#This Row],[Data do Caixa Previsto]]="",0,MONTH(TbRegistroSaídas[[#This Row],[Data do Caixa Previsto]]))</f>
        <v>12</v>
      </c>
      <c r="N168">
        <f>IF(TbRegistroSaídas[[#This Row],[Data do Caixa Previsto]]="",0,YEAR(TbRegistroSaídas[[#This Row],[Data do Caixa Previsto]]))</f>
        <v>2018</v>
      </c>
      <c r="O16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69" spans="2:15" x14ac:dyDescent="0.25">
      <c r="B169" s="8">
        <v>43487</v>
      </c>
      <c r="C169" s="8">
        <v>43452</v>
      </c>
      <c r="D169" s="8">
        <v>43487</v>
      </c>
      <c r="E169" t="s">
        <v>37</v>
      </c>
      <c r="F169" t="s">
        <v>35</v>
      </c>
      <c r="G169" t="s">
        <v>448</v>
      </c>
      <c r="H169" s="9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>
        <f>IF(TbRegistroSaídas[[#This Row],[Data do Caixa Previsto]]="",0,MONTH(TbRegistroSaídas[[#This Row],[Data do Caixa Previsto]]))</f>
        <v>1</v>
      </c>
      <c r="N169">
        <f>IF(TbRegistroSaídas[[#This Row],[Data do Caixa Previsto]]="",0,YEAR(TbRegistroSaídas[[#This Row],[Data do Caixa Previsto]]))</f>
        <v>2019</v>
      </c>
      <c r="O16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0" spans="2:15" x14ac:dyDescent="0.25">
      <c r="B170" s="8">
        <v>43514</v>
      </c>
      <c r="C170" s="8">
        <v>43459</v>
      </c>
      <c r="D170" s="8">
        <v>43514</v>
      </c>
      <c r="E170" t="s">
        <v>37</v>
      </c>
      <c r="F170" t="s">
        <v>44</v>
      </c>
      <c r="G170" t="s">
        <v>449</v>
      </c>
      <c r="H170" s="9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>
        <f>IF(TbRegistroSaídas[[#This Row],[Data do Caixa Previsto]]="",0,MONTH(TbRegistroSaídas[[#This Row],[Data do Caixa Previsto]]))</f>
        <v>2</v>
      </c>
      <c r="N170">
        <f>IF(TbRegistroSaídas[[#This Row],[Data do Caixa Previsto]]="",0,YEAR(TbRegistroSaídas[[#This Row],[Data do Caixa Previsto]]))</f>
        <v>2019</v>
      </c>
      <c r="O17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1" spans="2:15" x14ac:dyDescent="0.25">
      <c r="B171" s="8">
        <v>43491</v>
      </c>
      <c r="C171" s="8">
        <v>43461</v>
      </c>
      <c r="D171" s="8">
        <v>43491</v>
      </c>
      <c r="E171" t="s">
        <v>37</v>
      </c>
      <c r="F171" t="s">
        <v>44</v>
      </c>
      <c r="G171" t="s">
        <v>450</v>
      </c>
      <c r="H171" s="9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>
        <f>IF(TbRegistroSaídas[[#This Row],[Data do Caixa Previsto]]="",0,MONTH(TbRegistroSaídas[[#This Row],[Data do Caixa Previsto]]))</f>
        <v>1</v>
      </c>
      <c r="N171">
        <f>IF(TbRegistroSaídas[[#This Row],[Data do Caixa Previsto]]="",0,YEAR(TbRegistroSaídas[[#This Row],[Data do Caixa Previsto]]))</f>
        <v>2019</v>
      </c>
      <c r="O17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2" spans="2:15" x14ac:dyDescent="0.25">
      <c r="B172" s="8">
        <v>43515</v>
      </c>
      <c r="C172" s="8">
        <v>43464</v>
      </c>
      <c r="D172" s="8">
        <v>43515</v>
      </c>
      <c r="E172" t="s">
        <v>37</v>
      </c>
      <c r="F172" t="s">
        <v>35</v>
      </c>
      <c r="G172" t="s">
        <v>451</v>
      </c>
      <c r="H172" s="9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>
        <f>IF(TbRegistroSaídas[[#This Row],[Data do Caixa Previsto]]="",0,MONTH(TbRegistroSaídas[[#This Row],[Data do Caixa Previsto]]))</f>
        <v>2</v>
      </c>
      <c r="N172">
        <f>IF(TbRegistroSaídas[[#This Row],[Data do Caixa Previsto]]="",0,YEAR(TbRegistroSaídas[[#This Row],[Data do Caixa Previsto]]))</f>
        <v>2019</v>
      </c>
      <c r="O17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3" spans="2:15" x14ac:dyDescent="0.25">
      <c r="B173" s="8">
        <v>43467</v>
      </c>
      <c r="C173" s="8">
        <v>43467</v>
      </c>
      <c r="D173" s="8">
        <v>43467</v>
      </c>
      <c r="E173" t="s">
        <v>37</v>
      </c>
      <c r="F173" t="s">
        <v>35</v>
      </c>
      <c r="G173" t="s">
        <v>452</v>
      </c>
      <c r="H173" s="9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>
        <f>IF(TbRegistroSaídas[[#This Row],[Data do Caixa Previsto]]="",0,MONTH(TbRegistroSaídas[[#This Row],[Data do Caixa Previsto]]))</f>
        <v>1</v>
      </c>
      <c r="N173">
        <f>IF(TbRegistroSaídas[[#This Row],[Data do Caixa Previsto]]="",0,YEAR(TbRegistroSaídas[[#This Row],[Data do Caixa Previsto]]))</f>
        <v>2019</v>
      </c>
      <c r="O17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4" spans="2:15" x14ac:dyDescent="0.25">
      <c r="B174" s="8">
        <v>43485</v>
      </c>
      <c r="C174" s="8">
        <v>43469</v>
      </c>
      <c r="D174" s="8">
        <v>43485</v>
      </c>
      <c r="E174" t="s">
        <v>37</v>
      </c>
      <c r="F174" t="s">
        <v>44</v>
      </c>
      <c r="G174" t="s">
        <v>453</v>
      </c>
      <c r="H174" s="9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>
        <f>IF(TbRegistroSaídas[[#This Row],[Data do Caixa Previsto]]="",0,MONTH(TbRegistroSaídas[[#This Row],[Data do Caixa Previsto]]))</f>
        <v>1</v>
      </c>
      <c r="N174">
        <f>IF(TbRegistroSaídas[[#This Row],[Data do Caixa Previsto]]="",0,YEAR(TbRegistroSaídas[[#This Row],[Data do Caixa Previsto]]))</f>
        <v>2019</v>
      </c>
      <c r="O17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5" spans="2:15" x14ac:dyDescent="0.25">
      <c r="B175" s="8">
        <v>43501</v>
      </c>
      <c r="C175" s="8">
        <v>43476</v>
      </c>
      <c r="D175" s="8">
        <v>43501</v>
      </c>
      <c r="E175" t="s">
        <v>37</v>
      </c>
      <c r="F175" t="s">
        <v>44</v>
      </c>
      <c r="G175" t="s">
        <v>454</v>
      </c>
      <c r="H175" s="9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>
        <f>IF(TbRegistroSaídas[[#This Row],[Data do Caixa Previsto]]="",0,MONTH(TbRegistroSaídas[[#This Row],[Data do Caixa Previsto]]))</f>
        <v>2</v>
      </c>
      <c r="N175">
        <f>IF(TbRegistroSaídas[[#This Row],[Data do Caixa Previsto]]="",0,YEAR(TbRegistroSaídas[[#This Row],[Data do Caixa Previsto]]))</f>
        <v>2019</v>
      </c>
      <c r="O17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6" spans="2:15" x14ac:dyDescent="0.25">
      <c r="B176" s="8">
        <v>43569</v>
      </c>
      <c r="C176" s="8">
        <v>43479</v>
      </c>
      <c r="D176" s="8">
        <v>43495</v>
      </c>
      <c r="E176" t="s">
        <v>37</v>
      </c>
      <c r="F176" t="s">
        <v>44</v>
      </c>
      <c r="G176" t="s">
        <v>455</v>
      </c>
      <c r="H176" s="9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>
        <f>IF(TbRegistroSaídas[[#This Row],[Data do Caixa Previsto]]="",0,MONTH(TbRegistroSaídas[[#This Row],[Data do Caixa Previsto]]))</f>
        <v>1</v>
      </c>
      <c r="N176">
        <f>IF(TbRegistroSaídas[[#This Row],[Data do Caixa Previsto]]="",0,YEAR(TbRegistroSaídas[[#This Row],[Data do Caixa Previsto]]))</f>
        <v>2019</v>
      </c>
      <c r="O17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74</v>
      </c>
    </row>
    <row r="177" spans="2:15" x14ac:dyDescent="0.25">
      <c r="B177" s="8">
        <v>43482</v>
      </c>
      <c r="C177" s="8">
        <v>43482</v>
      </c>
      <c r="D177" s="8">
        <v>43482</v>
      </c>
      <c r="E177" t="s">
        <v>37</v>
      </c>
      <c r="F177" t="s">
        <v>35</v>
      </c>
      <c r="G177" t="s">
        <v>456</v>
      </c>
      <c r="H177" s="9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>
        <f>IF(TbRegistroSaídas[[#This Row],[Data do Caixa Previsto]]="",0,MONTH(TbRegistroSaídas[[#This Row],[Data do Caixa Previsto]]))</f>
        <v>1</v>
      </c>
      <c r="N177">
        <f>IF(TbRegistroSaídas[[#This Row],[Data do Caixa Previsto]]="",0,YEAR(TbRegistroSaídas[[#This Row],[Data do Caixa Previsto]]))</f>
        <v>2019</v>
      </c>
      <c r="O17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8" spans="2:15" x14ac:dyDescent="0.25">
      <c r="B178" s="8">
        <v>43499</v>
      </c>
      <c r="C178" s="8">
        <v>43484</v>
      </c>
      <c r="D178" s="8">
        <v>43499</v>
      </c>
      <c r="E178" t="s">
        <v>37</v>
      </c>
      <c r="F178" t="s">
        <v>31</v>
      </c>
      <c r="G178" t="s">
        <v>457</v>
      </c>
      <c r="H178" s="9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>
        <f>IF(TbRegistroSaídas[[#This Row],[Data do Caixa Previsto]]="",0,MONTH(TbRegistroSaídas[[#This Row],[Data do Caixa Previsto]]))</f>
        <v>2</v>
      </c>
      <c r="N178">
        <f>IF(TbRegistroSaídas[[#This Row],[Data do Caixa Previsto]]="",0,YEAR(TbRegistroSaídas[[#This Row],[Data do Caixa Previsto]]))</f>
        <v>2019</v>
      </c>
      <c r="O17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79" spans="2:15" x14ac:dyDescent="0.25">
      <c r="B179" s="8">
        <v>43487</v>
      </c>
      <c r="C179" s="8">
        <v>43487</v>
      </c>
      <c r="D179" s="8">
        <v>43487</v>
      </c>
      <c r="E179" t="s">
        <v>37</v>
      </c>
      <c r="F179" t="s">
        <v>35</v>
      </c>
      <c r="G179" t="s">
        <v>373</v>
      </c>
      <c r="H179" s="9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>
        <f>IF(TbRegistroSaídas[[#This Row],[Data do Caixa Previsto]]="",0,MONTH(TbRegistroSaídas[[#This Row],[Data do Caixa Previsto]]))</f>
        <v>1</v>
      </c>
      <c r="N179">
        <f>IF(TbRegistroSaídas[[#This Row],[Data do Caixa Previsto]]="",0,YEAR(TbRegistroSaídas[[#This Row],[Data do Caixa Previsto]]))</f>
        <v>2019</v>
      </c>
      <c r="O17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0" spans="2:15" x14ac:dyDescent="0.25">
      <c r="B180" s="8">
        <v>43492</v>
      </c>
      <c r="C180" s="8">
        <v>43492</v>
      </c>
      <c r="D180" s="8">
        <v>43492</v>
      </c>
      <c r="E180" t="s">
        <v>37</v>
      </c>
      <c r="F180" t="s">
        <v>44</v>
      </c>
      <c r="G180" t="s">
        <v>458</v>
      </c>
      <c r="H180" s="9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>
        <f>IF(TbRegistroSaídas[[#This Row],[Data do Caixa Previsto]]="",0,MONTH(TbRegistroSaídas[[#This Row],[Data do Caixa Previsto]]))</f>
        <v>1</v>
      </c>
      <c r="N180">
        <f>IF(TbRegistroSaídas[[#This Row],[Data do Caixa Previsto]]="",0,YEAR(TbRegistroSaídas[[#This Row],[Data do Caixa Previsto]]))</f>
        <v>2019</v>
      </c>
      <c r="O18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1" spans="2:15" x14ac:dyDescent="0.25">
      <c r="B181" s="8" t="s">
        <v>68</v>
      </c>
      <c r="C181" s="8">
        <v>43496</v>
      </c>
      <c r="D181" s="8">
        <v>43509</v>
      </c>
      <c r="E181" t="s">
        <v>37</v>
      </c>
      <c r="F181" t="s">
        <v>35</v>
      </c>
      <c r="G181" t="s">
        <v>459</v>
      </c>
      <c r="H181" s="9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>
        <f>IF(TbRegistroSaídas[[#This Row],[Data do Caixa Previsto]]="",0,MONTH(TbRegistroSaídas[[#This Row],[Data do Caixa Previsto]]))</f>
        <v>2</v>
      </c>
      <c r="N181">
        <f>IF(TbRegistroSaídas[[#This Row],[Data do Caixa Previsto]]="",0,YEAR(TbRegistroSaídas[[#This Row],[Data do Caixa Previsto]]))</f>
        <v>2019</v>
      </c>
      <c r="O18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1406</v>
      </c>
    </row>
    <row r="182" spans="2:15" x14ac:dyDescent="0.25">
      <c r="B182" s="8">
        <v>43520</v>
      </c>
      <c r="C182" s="8">
        <v>43497</v>
      </c>
      <c r="D182" s="8">
        <v>43520</v>
      </c>
      <c r="E182" t="s">
        <v>37</v>
      </c>
      <c r="F182" t="s">
        <v>32</v>
      </c>
      <c r="G182" t="s">
        <v>460</v>
      </c>
      <c r="H182" s="9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>
        <f>IF(TbRegistroSaídas[[#This Row],[Data do Caixa Previsto]]="",0,MONTH(TbRegistroSaídas[[#This Row],[Data do Caixa Previsto]]))</f>
        <v>2</v>
      </c>
      <c r="N182">
        <f>IF(TbRegistroSaídas[[#This Row],[Data do Caixa Previsto]]="",0,YEAR(TbRegistroSaídas[[#This Row],[Data do Caixa Previsto]]))</f>
        <v>2019</v>
      </c>
      <c r="O18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3" spans="2:15" x14ac:dyDescent="0.25">
      <c r="B183" s="8">
        <v>43499</v>
      </c>
      <c r="C183" s="8">
        <v>43499</v>
      </c>
      <c r="D183" s="8">
        <v>43499</v>
      </c>
      <c r="E183" t="s">
        <v>37</v>
      </c>
      <c r="F183" t="s">
        <v>31</v>
      </c>
      <c r="G183" t="s">
        <v>461</v>
      </c>
      <c r="H183" s="9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>
        <f>IF(TbRegistroSaídas[[#This Row],[Data do Caixa Previsto]]="",0,MONTH(TbRegistroSaídas[[#This Row],[Data do Caixa Previsto]]))</f>
        <v>2</v>
      </c>
      <c r="N183">
        <f>IF(TbRegistroSaídas[[#This Row],[Data do Caixa Previsto]]="",0,YEAR(TbRegistroSaídas[[#This Row],[Data do Caixa Previsto]]))</f>
        <v>2019</v>
      </c>
      <c r="O18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4" spans="2:15" x14ac:dyDescent="0.25">
      <c r="B184" s="8" t="s">
        <v>68</v>
      </c>
      <c r="C184" s="8">
        <v>43503</v>
      </c>
      <c r="D184" s="8">
        <v>43503</v>
      </c>
      <c r="E184" t="s">
        <v>37</v>
      </c>
      <c r="F184" t="s">
        <v>44</v>
      </c>
      <c r="G184" t="s">
        <v>462</v>
      </c>
      <c r="H184" s="9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>
        <f>IF(TbRegistroSaídas[[#This Row],[Data do Caixa Previsto]]="",0,MONTH(TbRegistroSaídas[[#This Row],[Data do Caixa Previsto]]))</f>
        <v>2</v>
      </c>
      <c r="N184">
        <f>IF(TbRegistroSaídas[[#This Row],[Data do Caixa Previsto]]="",0,YEAR(TbRegistroSaídas[[#This Row],[Data do Caixa Previsto]]))</f>
        <v>2019</v>
      </c>
      <c r="O18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1412</v>
      </c>
    </row>
    <row r="185" spans="2:15" x14ac:dyDescent="0.25">
      <c r="B185" s="8">
        <v>43505</v>
      </c>
      <c r="C185" s="8">
        <v>43505</v>
      </c>
      <c r="D185" s="8">
        <v>43505</v>
      </c>
      <c r="E185" t="s">
        <v>37</v>
      </c>
      <c r="F185" t="s">
        <v>33</v>
      </c>
      <c r="G185" t="s">
        <v>463</v>
      </c>
      <c r="H185" s="9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>
        <f>IF(TbRegistroSaídas[[#This Row],[Data do Caixa Previsto]]="",0,MONTH(TbRegistroSaídas[[#This Row],[Data do Caixa Previsto]]))</f>
        <v>2</v>
      </c>
      <c r="N185">
        <f>IF(TbRegistroSaídas[[#This Row],[Data do Caixa Previsto]]="",0,YEAR(TbRegistroSaídas[[#This Row],[Data do Caixa Previsto]]))</f>
        <v>2019</v>
      </c>
      <c r="O18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6" spans="2:15" x14ac:dyDescent="0.25">
      <c r="B186" s="8">
        <v>43508</v>
      </c>
      <c r="C186" s="8">
        <v>43506</v>
      </c>
      <c r="D186" s="8">
        <v>43508</v>
      </c>
      <c r="E186" t="s">
        <v>37</v>
      </c>
      <c r="F186" t="s">
        <v>33</v>
      </c>
      <c r="G186" t="s">
        <v>464</v>
      </c>
      <c r="H186" s="9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>
        <f>IF(TbRegistroSaídas[[#This Row],[Data do Caixa Previsto]]="",0,MONTH(TbRegistroSaídas[[#This Row],[Data do Caixa Previsto]]))</f>
        <v>2</v>
      </c>
      <c r="N186">
        <f>IF(TbRegistroSaídas[[#This Row],[Data do Caixa Previsto]]="",0,YEAR(TbRegistroSaídas[[#This Row],[Data do Caixa Previsto]]))</f>
        <v>2019</v>
      </c>
      <c r="O18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7" spans="2:15" x14ac:dyDescent="0.25">
      <c r="B187" s="8">
        <v>43555</v>
      </c>
      <c r="C187" s="8">
        <v>43508</v>
      </c>
      <c r="D187" s="8">
        <v>43555</v>
      </c>
      <c r="E187" t="s">
        <v>37</v>
      </c>
      <c r="F187" t="s">
        <v>32</v>
      </c>
      <c r="G187" t="s">
        <v>465</v>
      </c>
      <c r="H187" s="9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>
        <f>IF(TbRegistroSaídas[[#This Row],[Data do Caixa Previsto]]="",0,MONTH(TbRegistroSaídas[[#This Row],[Data do Caixa Previsto]]))</f>
        <v>3</v>
      </c>
      <c r="N187">
        <f>IF(TbRegistroSaídas[[#This Row],[Data do Caixa Previsto]]="",0,YEAR(TbRegistroSaídas[[#This Row],[Data do Caixa Previsto]]))</f>
        <v>2019</v>
      </c>
      <c r="O18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8" spans="2:15" x14ac:dyDescent="0.25">
      <c r="B188" s="8">
        <v>43517</v>
      </c>
      <c r="C188" s="8">
        <v>43517</v>
      </c>
      <c r="D188" s="8">
        <v>43517</v>
      </c>
      <c r="E188" t="s">
        <v>37</v>
      </c>
      <c r="F188" t="s">
        <v>35</v>
      </c>
      <c r="G188" t="s">
        <v>466</v>
      </c>
      <c r="H188" s="9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>
        <f>IF(TbRegistroSaídas[[#This Row],[Data do Caixa Previsto]]="",0,MONTH(TbRegistroSaídas[[#This Row],[Data do Caixa Previsto]]))</f>
        <v>2</v>
      </c>
      <c r="N188">
        <f>IF(TbRegistroSaídas[[#This Row],[Data do Caixa Previsto]]="",0,YEAR(TbRegistroSaídas[[#This Row],[Data do Caixa Previsto]]))</f>
        <v>2019</v>
      </c>
      <c r="O18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89" spans="2:15" x14ac:dyDescent="0.25">
      <c r="B189" s="8" t="s">
        <v>68</v>
      </c>
      <c r="C189" s="8">
        <v>43521</v>
      </c>
      <c r="D189" s="8">
        <v>43521</v>
      </c>
      <c r="E189" t="s">
        <v>37</v>
      </c>
      <c r="F189" t="s">
        <v>44</v>
      </c>
      <c r="G189" t="s">
        <v>467</v>
      </c>
      <c r="H189" s="9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>
        <f>IF(TbRegistroSaídas[[#This Row],[Data do Caixa Previsto]]="",0,MONTH(TbRegistroSaídas[[#This Row],[Data do Caixa Previsto]]))</f>
        <v>2</v>
      </c>
      <c r="N189">
        <f>IF(TbRegistroSaídas[[#This Row],[Data do Caixa Previsto]]="",0,YEAR(TbRegistroSaídas[[#This Row],[Data do Caixa Previsto]]))</f>
        <v>2019</v>
      </c>
      <c r="O18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1394</v>
      </c>
    </row>
    <row r="190" spans="2:15" x14ac:dyDescent="0.25">
      <c r="B190" s="8">
        <v>43531</v>
      </c>
      <c r="C190" s="8">
        <v>43523</v>
      </c>
      <c r="D190" s="8">
        <v>43531</v>
      </c>
      <c r="E190" t="s">
        <v>37</v>
      </c>
      <c r="F190" t="s">
        <v>33</v>
      </c>
      <c r="G190" t="s">
        <v>468</v>
      </c>
      <c r="H190" s="9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>
        <f>IF(TbRegistroSaídas[[#This Row],[Data do Caixa Previsto]]="",0,MONTH(TbRegistroSaídas[[#This Row],[Data do Caixa Previsto]]))</f>
        <v>3</v>
      </c>
      <c r="N190">
        <f>IF(TbRegistroSaídas[[#This Row],[Data do Caixa Previsto]]="",0,YEAR(TbRegistroSaídas[[#This Row],[Data do Caixa Previsto]]))</f>
        <v>2019</v>
      </c>
      <c r="O19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1" spans="2:15" x14ac:dyDescent="0.25">
      <c r="B191" s="8">
        <v>43569</v>
      </c>
      <c r="C191" s="8">
        <v>43526</v>
      </c>
      <c r="D191" s="8">
        <v>43569</v>
      </c>
      <c r="E191" t="s">
        <v>37</v>
      </c>
      <c r="F191" t="s">
        <v>31</v>
      </c>
      <c r="G191" t="s">
        <v>469</v>
      </c>
      <c r="H191" s="9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>
        <f>IF(TbRegistroSaídas[[#This Row],[Data do Caixa Previsto]]="",0,MONTH(TbRegistroSaídas[[#This Row],[Data do Caixa Previsto]]))</f>
        <v>4</v>
      </c>
      <c r="N191">
        <f>IF(TbRegistroSaídas[[#This Row],[Data do Caixa Previsto]]="",0,YEAR(TbRegistroSaídas[[#This Row],[Data do Caixa Previsto]]))</f>
        <v>2019</v>
      </c>
      <c r="O19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2" spans="2:15" x14ac:dyDescent="0.25">
      <c r="B192" s="8">
        <v>43567</v>
      </c>
      <c r="C192" s="8">
        <v>43530</v>
      </c>
      <c r="D192" s="8">
        <v>43567</v>
      </c>
      <c r="E192" t="s">
        <v>37</v>
      </c>
      <c r="F192" t="s">
        <v>31</v>
      </c>
      <c r="G192" t="s">
        <v>470</v>
      </c>
      <c r="H192" s="9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>
        <f>IF(TbRegistroSaídas[[#This Row],[Data do Caixa Previsto]]="",0,MONTH(TbRegistroSaídas[[#This Row],[Data do Caixa Previsto]]))</f>
        <v>4</v>
      </c>
      <c r="N192">
        <f>IF(TbRegistroSaídas[[#This Row],[Data do Caixa Previsto]]="",0,YEAR(TbRegistroSaídas[[#This Row],[Data do Caixa Previsto]]))</f>
        <v>2019</v>
      </c>
      <c r="O19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3" spans="2:15" x14ac:dyDescent="0.25">
      <c r="B193" s="8">
        <v>43532</v>
      </c>
      <c r="C193" s="8">
        <v>43532</v>
      </c>
      <c r="D193" s="8">
        <v>43532</v>
      </c>
      <c r="E193" t="s">
        <v>37</v>
      </c>
      <c r="F193" t="s">
        <v>44</v>
      </c>
      <c r="G193" t="s">
        <v>471</v>
      </c>
      <c r="H193" s="9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>
        <f>IF(TbRegistroSaídas[[#This Row],[Data do Caixa Previsto]]="",0,MONTH(TbRegistroSaídas[[#This Row],[Data do Caixa Previsto]]))</f>
        <v>3</v>
      </c>
      <c r="N193">
        <f>IF(TbRegistroSaídas[[#This Row],[Data do Caixa Previsto]]="",0,YEAR(TbRegistroSaídas[[#This Row],[Data do Caixa Previsto]]))</f>
        <v>2019</v>
      </c>
      <c r="O19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4" spans="2:15" x14ac:dyDescent="0.25">
      <c r="B194" s="8" t="s">
        <v>68</v>
      </c>
      <c r="C194" s="8">
        <v>43532</v>
      </c>
      <c r="D194" s="8">
        <v>43572</v>
      </c>
      <c r="E194" t="s">
        <v>37</v>
      </c>
      <c r="F194" t="s">
        <v>44</v>
      </c>
      <c r="G194" t="s">
        <v>472</v>
      </c>
      <c r="H194" s="9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>
        <f>IF(TbRegistroSaídas[[#This Row],[Data do Caixa Previsto]]="",0,MONTH(TbRegistroSaídas[[#This Row],[Data do Caixa Previsto]]))</f>
        <v>4</v>
      </c>
      <c r="N194">
        <f>IF(TbRegistroSaídas[[#This Row],[Data do Caixa Previsto]]="",0,YEAR(TbRegistroSaídas[[#This Row],[Data do Caixa Previsto]]))</f>
        <v>2019</v>
      </c>
      <c r="O19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1343</v>
      </c>
    </row>
    <row r="195" spans="2:15" x14ac:dyDescent="0.25">
      <c r="B195" s="8">
        <v>43570</v>
      </c>
      <c r="C195" s="8">
        <v>43534</v>
      </c>
      <c r="D195" s="8">
        <v>43570</v>
      </c>
      <c r="E195" t="s">
        <v>37</v>
      </c>
      <c r="F195" t="s">
        <v>35</v>
      </c>
      <c r="G195" t="s">
        <v>473</v>
      </c>
      <c r="H195" s="9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>
        <f>IF(TbRegistroSaídas[[#This Row],[Data do Caixa Previsto]]="",0,MONTH(TbRegistroSaídas[[#This Row],[Data do Caixa Previsto]]))</f>
        <v>4</v>
      </c>
      <c r="N195">
        <f>IF(TbRegistroSaídas[[#This Row],[Data do Caixa Previsto]]="",0,YEAR(TbRegistroSaídas[[#This Row],[Data do Caixa Previsto]]))</f>
        <v>2019</v>
      </c>
      <c r="O19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6" spans="2:15" x14ac:dyDescent="0.25">
      <c r="B196" s="8">
        <v>43536</v>
      </c>
      <c r="C196" s="8">
        <v>43536</v>
      </c>
      <c r="D196" s="8">
        <v>43536</v>
      </c>
      <c r="E196" t="s">
        <v>37</v>
      </c>
      <c r="F196" t="s">
        <v>31</v>
      </c>
      <c r="G196" t="s">
        <v>474</v>
      </c>
      <c r="H196" s="9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>
        <f>IF(TbRegistroSaídas[[#This Row],[Data do Caixa Previsto]]="",0,MONTH(TbRegistroSaídas[[#This Row],[Data do Caixa Previsto]]))</f>
        <v>3</v>
      </c>
      <c r="N196">
        <f>IF(TbRegistroSaídas[[#This Row],[Data do Caixa Previsto]]="",0,YEAR(TbRegistroSaídas[[#This Row],[Data do Caixa Previsto]]))</f>
        <v>2019</v>
      </c>
      <c r="O19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7" spans="2:15" x14ac:dyDescent="0.25">
      <c r="B197" s="8">
        <v>43576</v>
      </c>
      <c r="C197" s="8">
        <v>43537</v>
      </c>
      <c r="D197" s="8">
        <v>43576</v>
      </c>
      <c r="E197" t="s">
        <v>37</v>
      </c>
      <c r="F197" t="s">
        <v>35</v>
      </c>
      <c r="G197" t="s">
        <v>475</v>
      </c>
      <c r="H197" s="9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>
        <f>IF(TbRegistroSaídas[[#This Row],[Data do Caixa Previsto]]="",0,MONTH(TbRegistroSaídas[[#This Row],[Data do Caixa Previsto]]))</f>
        <v>4</v>
      </c>
      <c r="N197">
        <f>IF(TbRegistroSaídas[[#This Row],[Data do Caixa Previsto]]="",0,YEAR(TbRegistroSaídas[[#This Row],[Data do Caixa Previsto]]))</f>
        <v>2019</v>
      </c>
      <c r="O19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8" spans="2:15" x14ac:dyDescent="0.25">
      <c r="B198" s="8">
        <v>43543</v>
      </c>
      <c r="C198" s="8">
        <v>43540</v>
      </c>
      <c r="D198" s="8">
        <v>43543</v>
      </c>
      <c r="E198" t="s">
        <v>37</v>
      </c>
      <c r="F198" t="s">
        <v>31</v>
      </c>
      <c r="G198" t="s">
        <v>476</v>
      </c>
      <c r="H198" s="9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>
        <f>IF(TbRegistroSaídas[[#This Row],[Data do Caixa Previsto]]="",0,MONTH(TbRegistroSaídas[[#This Row],[Data do Caixa Previsto]]))</f>
        <v>3</v>
      </c>
      <c r="N198">
        <f>IF(TbRegistroSaídas[[#This Row],[Data do Caixa Previsto]]="",0,YEAR(TbRegistroSaídas[[#This Row],[Data do Caixa Previsto]]))</f>
        <v>2019</v>
      </c>
      <c r="O19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199" spans="2:15" x14ac:dyDescent="0.25">
      <c r="B199" s="8">
        <v>43543</v>
      </c>
      <c r="C199" s="8">
        <v>43543</v>
      </c>
      <c r="D199" s="8">
        <v>43543</v>
      </c>
      <c r="E199" t="s">
        <v>37</v>
      </c>
      <c r="F199" t="s">
        <v>35</v>
      </c>
      <c r="G199" t="s">
        <v>477</v>
      </c>
      <c r="H199" s="9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>
        <f>IF(TbRegistroSaídas[[#This Row],[Data do Caixa Previsto]]="",0,MONTH(TbRegistroSaídas[[#This Row],[Data do Caixa Previsto]]))</f>
        <v>3</v>
      </c>
      <c r="N199">
        <f>IF(TbRegistroSaídas[[#This Row],[Data do Caixa Previsto]]="",0,YEAR(TbRegistroSaídas[[#This Row],[Data do Caixa Previsto]]))</f>
        <v>2019</v>
      </c>
      <c r="O19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0" spans="2:15" x14ac:dyDescent="0.25">
      <c r="B200" s="8">
        <v>43586</v>
      </c>
      <c r="C200" s="8">
        <v>43546</v>
      </c>
      <c r="D200" s="8">
        <v>43586</v>
      </c>
      <c r="E200" t="s">
        <v>37</v>
      </c>
      <c r="F200" t="s">
        <v>44</v>
      </c>
      <c r="G200" t="s">
        <v>478</v>
      </c>
      <c r="H200" s="9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>
        <f>IF(TbRegistroSaídas[[#This Row],[Data do Caixa Previsto]]="",0,MONTH(TbRegistroSaídas[[#This Row],[Data do Caixa Previsto]]))</f>
        <v>5</v>
      </c>
      <c r="N200">
        <f>IF(TbRegistroSaídas[[#This Row],[Data do Caixa Previsto]]="",0,YEAR(TbRegistroSaídas[[#This Row],[Data do Caixa Previsto]]))</f>
        <v>2019</v>
      </c>
      <c r="O20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1" spans="2:15" x14ac:dyDescent="0.25">
      <c r="B201" s="8">
        <v>43551</v>
      </c>
      <c r="C201" s="8">
        <v>43551</v>
      </c>
      <c r="D201" s="8">
        <v>43551</v>
      </c>
      <c r="E201" t="s">
        <v>37</v>
      </c>
      <c r="F201" t="s">
        <v>33</v>
      </c>
      <c r="G201" t="s">
        <v>479</v>
      </c>
      <c r="H201" s="9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>
        <f>IF(TbRegistroSaídas[[#This Row],[Data do Caixa Previsto]]="",0,MONTH(TbRegistroSaídas[[#This Row],[Data do Caixa Previsto]]))</f>
        <v>3</v>
      </c>
      <c r="N201">
        <f>IF(TbRegistroSaídas[[#This Row],[Data do Caixa Previsto]]="",0,YEAR(TbRegistroSaídas[[#This Row],[Data do Caixa Previsto]]))</f>
        <v>2019</v>
      </c>
      <c r="O20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2" spans="2:15" x14ac:dyDescent="0.25">
      <c r="B202" s="8">
        <v>43557</v>
      </c>
      <c r="C202" s="8">
        <v>43557</v>
      </c>
      <c r="D202" s="8">
        <v>43557</v>
      </c>
      <c r="E202" t="s">
        <v>37</v>
      </c>
      <c r="F202" t="s">
        <v>31</v>
      </c>
      <c r="G202" t="s">
        <v>480</v>
      </c>
      <c r="H202" s="9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>
        <f>IF(TbRegistroSaídas[[#This Row],[Data do Caixa Previsto]]="",0,MONTH(TbRegistroSaídas[[#This Row],[Data do Caixa Previsto]]))</f>
        <v>4</v>
      </c>
      <c r="N202">
        <f>IF(TbRegistroSaídas[[#This Row],[Data do Caixa Previsto]]="",0,YEAR(TbRegistroSaídas[[#This Row],[Data do Caixa Previsto]]))</f>
        <v>2019</v>
      </c>
      <c r="O20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3" spans="2:15" x14ac:dyDescent="0.25">
      <c r="B203" s="8">
        <v>43560</v>
      </c>
      <c r="C203" s="8">
        <v>43558</v>
      </c>
      <c r="D203" s="8">
        <v>43560</v>
      </c>
      <c r="E203" t="s">
        <v>37</v>
      </c>
      <c r="F203" t="s">
        <v>44</v>
      </c>
      <c r="G203" t="s">
        <v>481</v>
      </c>
      <c r="H203" s="9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>
        <f>IF(TbRegistroSaídas[[#This Row],[Data do Caixa Previsto]]="",0,MONTH(TbRegistroSaídas[[#This Row],[Data do Caixa Previsto]]))</f>
        <v>4</v>
      </c>
      <c r="N203">
        <f>IF(TbRegistroSaídas[[#This Row],[Data do Caixa Previsto]]="",0,YEAR(TbRegistroSaídas[[#This Row],[Data do Caixa Previsto]]))</f>
        <v>2019</v>
      </c>
      <c r="O20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4" spans="2:15" x14ac:dyDescent="0.25">
      <c r="B204" s="8" t="s">
        <v>68</v>
      </c>
      <c r="C204" s="8">
        <v>43561</v>
      </c>
      <c r="D204" s="8">
        <v>43605</v>
      </c>
      <c r="E204" t="s">
        <v>37</v>
      </c>
      <c r="F204" t="s">
        <v>33</v>
      </c>
      <c r="G204" t="s">
        <v>482</v>
      </c>
      <c r="H204" s="9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>
        <f>IF(TbRegistroSaídas[[#This Row],[Data do Caixa Previsto]]="",0,MONTH(TbRegistroSaídas[[#This Row],[Data do Caixa Previsto]]))</f>
        <v>5</v>
      </c>
      <c r="N204">
        <f>IF(TbRegistroSaídas[[#This Row],[Data do Caixa Previsto]]="",0,YEAR(TbRegistroSaídas[[#This Row],[Data do Caixa Previsto]]))</f>
        <v>2019</v>
      </c>
      <c r="O20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1310</v>
      </c>
    </row>
    <row r="205" spans="2:15" x14ac:dyDescent="0.25">
      <c r="B205" s="8">
        <v>43647</v>
      </c>
      <c r="C205" s="8">
        <v>43563</v>
      </c>
      <c r="D205" s="8">
        <v>43603</v>
      </c>
      <c r="E205" t="s">
        <v>37</v>
      </c>
      <c r="F205" t="s">
        <v>44</v>
      </c>
      <c r="G205" t="s">
        <v>483</v>
      </c>
      <c r="H205" s="9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>
        <f>IF(TbRegistroSaídas[[#This Row],[Data do Caixa Previsto]]="",0,MONTH(TbRegistroSaídas[[#This Row],[Data do Caixa Previsto]]))</f>
        <v>5</v>
      </c>
      <c r="N205">
        <f>IF(TbRegistroSaídas[[#This Row],[Data do Caixa Previsto]]="",0,YEAR(TbRegistroSaídas[[#This Row],[Data do Caixa Previsto]]))</f>
        <v>2019</v>
      </c>
      <c r="O20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44</v>
      </c>
    </row>
    <row r="206" spans="2:15" x14ac:dyDescent="0.25">
      <c r="B206" s="8">
        <v>43578</v>
      </c>
      <c r="C206" s="8">
        <v>43565</v>
      </c>
      <c r="D206" s="8">
        <v>43565</v>
      </c>
      <c r="E206" t="s">
        <v>37</v>
      </c>
      <c r="F206" t="s">
        <v>44</v>
      </c>
      <c r="G206" t="s">
        <v>484</v>
      </c>
      <c r="H206" s="9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>
        <f>IF(TbRegistroSaídas[[#This Row],[Data do Caixa Previsto]]="",0,MONTH(TbRegistroSaídas[[#This Row],[Data do Caixa Previsto]]))</f>
        <v>4</v>
      </c>
      <c r="N206">
        <f>IF(TbRegistroSaídas[[#This Row],[Data do Caixa Previsto]]="",0,YEAR(TbRegistroSaídas[[#This Row],[Data do Caixa Previsto]]))</f>
        <v>2019</v>
      </c>
      <c r="O20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</v>
      </c>
    </row>
    <row r="207" spans="2:15" x14ac:dyDescent="0.25">
      <c r="B207" s="8">
        <v>43584</v>
      </c>
      <c r="C207" s="8">
        <v>43569</v>
      </c>
      <c r="D207" s="8">
        <v>43584</v>
      </c>
      <c r="E207" t="s">
        <v>37</v>
      </c>
      <c r="F207" t="s">
        <v>44</v>
      </c>
      <c r="G207" t="s">
        <v>485</v>
      </c>
      <c r="H207" s="9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>
        <f>IF(TbRegistroSaídas[[#This Row],[Data do Caixa Previsto]]="",0,MONTH(TbRegistroSaídas[[#This Row],[Data do Caixa Previsto]]))</f>
        <v>4</v>
      </c>
      <c r="N207">
        <f>IF(TbRegistroSaídas[[#This Row],[Data do Caixa Previsto]]="",0,YEAR(TbRegistroSaídas[[#This Row],[Data do Caixa Previsto]]))</f>
        <v>2019</v>
      </c>
      <c r="O20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8" spans="2:15" x14ac:dyDescent="0.25">
      <c r="B208" s="8">
        <v>43572</v>
      </c>
      <c r="C208" s="8">
        <v>43572</v>
      </c>
      <c r="D208" s="8">
        <v>43572</v>
      </c>
      <c r="E208" t="s">
        <v>37</v>
      </c>
      <c r="F208" t="s">
        <v>32</v>
      </c>
      <c r="G208" t="s">
        <v>486</v>
      </c>
      <c r="H208" s="9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>
        <f>IF(TbRegistroSaídas[[#This Row],[Data do Caixa Previsto]]="",0,MONTH(TbRegistroSaídas[[#This Row],[Data do Caixa Previsto]]))</f>
        <v>4</v>
      </c>
      <c r="N208">
        <f>IF(TbRegistroSaídas[[#This Row],[Data do Caixa Previsto]]="",0,YEAR(TbRegistroSaídas[[#This Row],[Data do Caixa Previsto]]))</f>
        <v>2019</v>
      </c>
      <c r="O20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09" spans="2:15" x14ac:dyDescent="0.25">
      <c r="B209" s="8" t="s">
        <v>68</v>
      </c>
      <c r="C209" s="8">
        <v>43574</v>
      </c>
      <c r="D209" s="8">
        <v>43589</v>
      </c>
      <c r="E209" t="s">
        <v>37</v>
      </c>
      <c r="F209" t="s">
        <v>44</v>
      </c>
      <c r="G209" t="s">
        <v>487</v>
      </c>
      <c r="H209" s="9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>
        <f>IF(TbRegistroSaídas[[#This Row],[Data do Caixa Previsto]]="",0,MONTH(TbRegistroSaídas[[#This Row],[Data do Caixa Previsto]]))</f>
        <v>5</v>
      </c>
      <c r="N209">
        <f>IF(TbRegistroSaídas[[#This Row],[Data do Caixa Previsto]]="",0,YEAR(TbRegistroSaídas[[#This Row],[Data do Caixa Previsto]]))</f>
        <v>2019</v>
      </c>
      <c r="O20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1326</v>
      </c>
    </row>
    <row r="210" spans="2:15" x14ac:dyDescent="0.25">
      <c r="B210" s="8">
        <v>43586</v>
      </c>
      <c r="C210" s="8">
        <v>43576</v>
      </c>
      <c r="D210" s="8">
        <v>43586</v>
      </c>
      <c r="E210" t="s">
        <v>37</v>
      </c>
      <c r="F210" t="s">
        <v>44</v>
      </c>
      <c r="G210" t="s">
        <v>488</v>
      </c>
      <c r="H210" s="9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>
        <f>IF(TbRegistroSaídas[[#This Row],[Data do Caixa Previsto]]="",0,MONTH(TbRegistroSaídas[[#This Row],[Data do Caixa Previsto]]))</f>
        <v>5</v>
      </c>
      <c r="N210">
        <f>IF(TbRegistroSaídas[[#This Row],[Data do Caixa Previsto]]="",0,YEAR(TbRegistroSaídas[[#This Row],[Data do Caixa Previsto]]))</f>
        <v>2019</v>
      </c>
      <c r="O21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1" spans="2:15" x14ac:dyDescent="0.25">
      <c r="B211" s="8">
        <v>43661</v>
      </c>
      <c r="C211" s="8">
        <v>43580</v>
      </c>
      <c r="D211" s="8">
        <v>43635</v>
      </c>
      <c r="E211" t="s">
        <v>37</v>
      </c>
      <c r="F211" t="s">
        <v>44</v>
      </c>
      <c r="G211" t="s">
        <v>489</v>
      </c>
      <c r="H211" s="9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>
        <f>IF(TbRegistroSaídas[[#This Row],[Data do Caixa Previsto]]="",0,MONTH(TbRegistroSaídas[[#This Row],[Data do Caixa Previsto]]))</f>
        <v>6</v>
      </c>
      <c r="N211">
        <f>IF(TbRegistroSaídas[[#This Row],[Data do Caixa Previsto]]="",0,YEAR(TbRegistroSaídas[[#This Row],[Data do Caixa Previsto]]))</f>
        <v>2019</v>
      </c>
      <c r="O21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26</v>
      </c>
    </row>
    <row r="212" spans="2:15" x14ac:dyDescent="0.25">
      <c r="B212" s="8">
        <v>43622</v>
      </c>
      <c r="C212" s="8">
        <v>43582</v>
      </c>
      <c r="D212" s="8">
        <v>43622</v>
      </c>
      <c r="E212" t="s">
        <v>37</v>
      </c>
      <c r="F212" t="s">
        <v>32</v>
      </c>
      <c r="G212" t="s">
        <v>490</v>
      </c>
      <c r="H212" s="9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>
        <f>IF(TbRegistroSaídas[[#This Row],[Data do Caixa Previsto]]="",0,MONTH(TbRegistroSaídas[[#This Row],[Data do Caixa Previsto]]))</f>
        <v>6</v>
      </c>
      <c r="N212">
        <f>IF(TbRegistroSaídas[[#This Row],[Data do Caixa Previsto]]="",0,YEAR(TbRegistroSaídas[[#This Row],[Data do Caixa Previsto]]))</f>
        <v>2019</v>
      </c>
      <c r="O21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3" spans="2:15" x14ac:dyDescent="0.25">
      <c r="B213" s="8">
        <v>43624</v>
      </c>
      <c r="C213" s="8">
        <v>43588</v>
      </c>
      <c r="D213" s="8">
        <v>43624</v>
      </c>
      <c r="E213" t="s">
        <v>37</v>
      </c>
      <c r="F213" t="s">
        <v>44</v>
      </c>
      <c r="G213" t="s">
        <v>491</v>
      </c>
      <c r="H213" s="9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>
        <f>IF(TbRegistroSaídas[[#This Row],[Data do Caixa Previsto]]="",0,MONTH(TbRegistroSaídas[[#This Row],[Data do Caixa Previsto]]))</f>
        <v>6</v>
      </c>
      <c r="N213">
        <f>IF(TbRegistroSaídas[[#This Row],[Data do Caixa Previsto]]="",0,YEAR(TbRegistroSaídas[[#This Row],[Data do Caixa Previsto]]))</f>
        <v>2019</v>
      </c>
      <c r="O21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4" spans="2:15" x14ac:dyDescent="0.25">
      <c r="B214" s="8">
        <v>43595</v>
      </c>
      <c r="C214" s="8">
        <v>43590</v>
      </c>
      <c r="D214" s="8">
        <v>43595</v>
      </c>
      <c r="E214" t="s">
        <v>37</v>
      </c>
      <c r="F214" t="s">
        <v>44</v>
      </c>
      <c r="G214" t="s">
        <v>492</v>
      </c>
      <c r="H214" s="9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>
        <f>IF(TbRegistroSaídas[[#This Row],[Data do Caixa Previsto]]="",0,MONTH(TbRegistroSaídas[[#This Row],[Data do Caixa Previsto]]))</f>
        <v>5</v>
      </c>
      <c r="N214">
        <f>IF(TbRegistroSaídas[[#This Row],[Data do Caixa Previsto]]="",0,YEAR(TbRegistroSaídas[[#This Row],[Data do Caixa Previsto]]))</f>
        <v>2019</v>
      </c>
      <c r="O21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5" spans="2:15" x14ac:dyDescent="0.25">
      <c r="B215" s="8">
        <v>43613</v>
      </c>
      <c r="C215" s="8">
        <v>43591</v>
      </c>
      <c r="D215" s="8">
        <v>43613</v>
      </c>
      <c r="E215" t="s">
        <v>37</v>
      </c>
      <c r="F215" t="s">
        <v>32</v>
      </c>
      <c r="G215" t="s">
        <v>493</v>
      </c>
      <c r="H215" s="9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>
        <f>IF(TbRegistroSaídas[[#This Row],[Data do Caixa Previsto]]="",0,MONTH(TbRegistroSaídas[[#This Row],[Data do Caixa Previsto]]))</f>
        <v>5</v>
      </c>
      <c r="N215">
        <f>IF(TbRegistroSaídas[[#This Row],[Data do Caixa Previsto]]="",0,YEAR(TbRegistroSaídas[[#This Row],[Data do Caixa Previsto]]))</f>
        <v>2019</v>
      </c>
      <c r="O21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6" spans="2:15" x14ac:dyDescent="0.25">
      <c r="B216" s="8">
        <v>43623</v>
      </c>
      <c r="C216" s="8">
        <v>43592</v>
      </c>
      <c r="D216" s="8">
        <v>43623</v>
      </c>
      <c r="E216" t="s">
        <v>37</v>
      </c>
      <c r="F216" t="s">
        <v>32</v>
      </c>
      <c r="G216" t="s">
        <v>494</v>
      </c>
      <c r="H216" s="9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>
        <f>IF(TbRegistroSaídas[[#This Row],[Data do Caixa Previsto]]="",0,MONTH(TbRegistroSaídas[[#This Row],[Data do Caixa Previsto]]))</f>
        <v>6</v>
      </c>
      <c r="N216">
        <f>IF(TbRegistroSaídas[[#This Row],[Data do Caixa Previsto]]="",0,YEAR(TbRegistroSaídas[[#This Row],[Data do Caixa Previsto]]))</f>
        <v>2019</v>
      </c>
      <c r="O21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7" spans="2:15" x14ac:dyDescent="0.25">
      <c r="B217" s="8">
        <v>43645</v>
      </c>
      <c r="C217" s="8">
        <v>43594</v>
      </c>
      <c r="D217" s="8">
        <v>43645</v>
      </c>
      <c r="E217" t="s">
        <v>37</v>
      </c>
      <c r="F217" t="s">
        <v>32</v>
      </c>
      <c r="G217" t="s">
        <v>495</v>
      </c>
      <c r="H217" s="9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>
        <f>IF(TbRegistroSaídas[[#This Row],[Data do Caixa Previsto]]="",0,MONTH(TbRegistroSaídas[[#This Row],[Data do Caixa Previsto]]))</f>
        <v>6</v>
      </c>
      <c r="N217">
        <f>IF(TbRegistroSaídas[[#This Row],[Data do Caixa Previsto]]="",0,YEAR(TbRegistroSaídas[[#This Row],[Data do Caixa Previsto]]))</f>
        <v>2019</v>
      </c>
      <c r="O21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8" spans="2:15" x14ac:dyDescent="0.25">
      <c r="B218" s="8">
        <v>43614</v>
      </c>
      <c r="C218" s="8">
        <v>43595</v>
      </c>
      <c r="D218" s="8">
        <v>43614</v>
      </c>
      <c r="E218" t="s">
        <v>37</v>
      </c>
      <c r="F218" t="s">
        <v>32</v>
      </c>
      <c r="G218" t="s">
        <v>496</v>
      </c>
      <c r="H218" s="9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>
        <f>IF(TbRegistroSaídas[[#This Row],[Data do Caixa Previsto]]="",0,MONTH(TbRegistroSaídas[[#This Row],[Data do Caixa Previsto]]))</f>
        <v>5</v>
      </c>
      <c r="N218">
        <f>IF(TbRegistroSaídas[[#This Row],[Data do Caixa Previsto]]="",0,YEAR(TbRegistroSaídas[[#This Row],[Data do Caixa Previsto]]))</f>
        <v>2019</v>
      </c>
      <c r="O21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19" spans="2:15" x14ac:dyDescent="0.25">
      <c r="B219" s="8">
        <v>43598</v>
      </c>
      <c r="C219" s="8">
        <v>43598</v>
      </c>
      <c r="D219" s="8">
        <v>43598</v>
      </c>
      <c r="E219" t="s">
        <v>37</v>
      </c>
      <c r="F219" t="s">
        <v>35</v>
      </c>
      <c r="G219" t="s">
        <v>497</v>
      </c>
      <c r="H219" s="9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>
        <f>IF(TbRegistroSaídas[[#This Row],[Data do Caixa Previsto]]="",0,MONTH(TbRegistroSaídas[[#This Row],[Data do Caixa Previsto]]))</f>
        <v>5</v>
      </c>
      <c r="N219">
        <f>IF(TbRegistroSaídas[[#This Row],[Data do Caixa Previsto]]="",0,YEAR(TbRegistroSaídas[[#This Row],[Data do Caixa Previsto]]))</f>
        <v>2019</v>
      </c>
      <c r="O21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0" spans="2:15" x14ac:dyDescent="0.25">
      <c r="B220" s="8">
        <v>43601</v>
      </c>
      <c r="C220" s="8">
        <v>43601</v>
      </c>
      <c r="D220" s="8">
        <v>43601</v>
      </c>
      <c r="E220" t="s">
        <v>37</v>
      </c>
      <c r="F220" t="s">
        <v>44</v>
      </c>
      <c r="G220" t="s">
        <v>498</v>
      </c>
      <c r="H220" s="9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>
        <f>IF(TbRegistroSaídas[[#This Row],[Data do Caixa Previsto]]="",0,MONTH(TbRegistroSaídas[[#This Row],[Data do Caixa Previsto]]))</f>
        <v>5</v>
      </c>
      <c r="N220">
        <f>IF(TbRegistroSaídas[[#This Row],[Data do Caixa Previsto]]="",0,YEAR(TbRegistroSaídas[[#This Row],[Data do Caixa Previsto]]))</f>
        <v>2019</v>
      </c>
      <c r="O22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1" spans="2:15" x14ac:dyDescent="0.25">
      <c r="B221" s="8">
        <v>43604</v>
      </c>
      <c r="C221" s="8">
        <v>43604</v>
      </c>
      <c r="D221" s="8">
        <v>43604</v>
      </c>
      <c r="E221" t="s">
        <v>37</v>
      </c>
      <c r="F221" t="s">
        <v>35</v>
      </c>
      <c r="G221" t="s">
        <v>499</v>
      </c>
      <c r="H221" s="9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>
        <f>IF(TbRegistroSaídas[[#This Row],[Data do Caixa Previsto]]="",0,MONTH(TbRegistroSaídas[[#This Row],[Data do Caixa Previsto]]))</f>
        <v>5</v>
      </c>
      <c r="N221">
        <f>IF(TbRegistroSaídas[[#This Row],[Data do Caixa Previsto]]="",0,YEAR(TbRegistroSaídas[[#This Row],[Data do Caixa Previsto]]))</f>
        <v>2019</v>
      </c>
      <c r="O22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2" spans="2:15" x14ac:dyDescent="0.25">
      <c r="B222" s="8">
        <v>43626</v>
      </c>
      <c r="C222" s="8">
        <v>43607</v>
      </c>
      <c r="D222" s="8">
        <v>43626</v>
      </c>
      <c r="E222" t="s">
        <v>37</v>
      </c>
      <c r="F222" t="s">
        <v>44</v>
      </c>
      <c r="G222" t="s">
        <v>500</v>
      </c>
      <c r="H222" s="9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>
        <f>IF(TbRegistroSaídas[[#This Row],[Data do Caixa Previsto]]="",0,MONTH(TbRegistroSaídas[[#This Row],[Data do Caixa Previsto]]))</f>
        <v>6</v>
      </c>
      <c r="N222">
        <f>IF(TbRegistroSaídas[[#This Row],[Data do Caixa Previsto]]="",0,YEAR(TbRegistroSaídas[[#This Row],[Data do Caixa Previsto]]))</f>
        <v>2019</v>
      </c>
      <c r="O22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3" spans="2:15" x14ac:dyDescent="0.25">
      <c r="B223" s="8">
        <v>43610</v>
      </c>
      <c r="C223" s="8">
        <v>43610</v>
      </c>
      <c r="D223" s="8">
        <v>43610</v>
      </c>
      <c r="E223" t="s">
        <v>37</v>
      </c>
      <c r="F223" t="s">
        <v>31</v>
      </c>
      <c r="G223" t="s">
        <v>501</v>
      </c>
      <c r="H223" s="9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>
        <f>IF(TbRegistroSaídas[[#This Row],[Data do Caixa Previsto]]="",0,MONTH(TbRegistroSaídas[[#This Row],[Data do Caixa Previsto]]))</f>
        <v>5</v>
      </c>
      <c r="N223">
        <f>IF(TbRegistroSaídas[[#This Row],[Data do Caixa Previsto]]="",0,YEAR(TbRegistroSaídas[[#This Row],[Data do Caixa Previsto]]))</f>
        <v>2019</v>
      </c>
      <c r="O223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4" spans="2:15" x14ac:dyDescent="0.25">
      <c r="B224" s="8" t="s">
        <v>68</v>
      </c>
      <c r="C224" s="8">
        <v>43614</v>
      </c>
      <c r="D224" s="8">
        <v>43645</v>
      </c>
      <c r="E224" t="s">
        <v>37</v>
      </c>
      <c r="F224" t="s">
        <v>44</v>
      </c>
      <c r="G224" t="s">
        <v>345</v>
      </c>
      <c r="H224" s="9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>
        <f>IF(TbRegistroSaídas[[#This Row],[Data do Caixa Previsto]]="",0,MONTH(TbRegistroSaídas[[#This Row],[Data do Caixa Previsto]]))</f>
        <v>6</v>
      </c>
      <c r="N224">
        <f>IF(TbRegistroSaídas[[#This Row],[Data do Caixa Previsto]]="",0,YEAR(TbRegistroSaídas[[#This Row],[Data do Caixa Previsto]]))</f>
        <v>2019</v>
      </c>
      <c r="O224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1270</v>
      </c>
    </row>
    <row r="225" spans="2:15" x14ac:dyDescent="0.25">
      <c r="B225" s="8">
        <v>43628</v>
      </c>
      <c r="C225" s="8">
        <v>43619</v>
      </c>
      <c r="D225" s="8">
        <v>43628</v>
      </c>
      <c r="E225" t="s">
        <v>37</v>
      </c>
      <c r="F225" t="s">
        <v>32</v>
      </c>
      <c r="G225" t="s">
        <v>502</v>
      </c>
      <c r="H225" s="9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>
        <f>IF(TbRegistroSaídas[[#This Row],[Data do Caixa Previsto]]="",0,MONTH(TbRegistroSaídas[[#This Row],[Data do Caixa Previsto]]))</f>
        <v>6</v>
      </c>
      <c r="N225">
        <f>IF(TbRegistroSaídas[[#This Row],[Data do Caixa Previsto]]="",0,YEAR(TbRegistroSaídas[[#This Row],[Data do Caixa Previsto]]))</f>
        <v>2019</v>
      </c>
      <c r="O225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6" spans="2:15" x14ac:dyDescent="0.25">
      <c r="B226" s="8">
        <v>43639</v>
      </c>
      <c r="C226" s="8">
        <v>43623</v>
      </c>
      <c r="D226" s="8">
        <v>43639</v>
      </c>
      <c r="E226" t="s">
        <v>37</v>
      </c>
      <c r="F226" t="s">
        <v>35</v>
      </c>
      <c r="G226" t="s">
        <v>503</v>
      </c>
      <c r="H226" s="9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>
        <f>IF(TbRegistroSaídas[[#This Row],[Data do Caixa Previsto]]="",0,MONTH(TbRegistroSaídas[[#This Row],[Data do Caixa Previsto]]))</f>
        <v>6</v>
      </c>
      <c r="N226">
        <f>IF(TbRegistroSaídas[[#This Row],[Data do Caixa Previsto]]="",0,YEAR(TbRegistroSaídas[[#This Row],[Data do Caixa Previsto]]))</f>
        <v>2019</v>
      </c>
      <c r="O226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7" spans="2:15" x14ac:dyDescent="0.25">
      <c r="B227" s="8">
        <v>43625</v>
      </c>
      <c r="C227" s="8">
        <v>43625</v>
      </c>
      <c r="D227" s="8">
        <v>43625</v>
      </c>
      <c r="E227" t="s">
        <v>37</v>
      </c>
      <c r="F227" t="s">
        <v>44</v>
      </c>
      <c r="G227" t="s">
        <v>504</v>
      </c>
      <c r="H227" s="9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>
        <f>IF(TbRegistroSaídas[[#This Row],[Data do Caixa Previsto]]="",0,MONTH(TbRegistroSaídas[[#This Row],[Data do Caixa Previsto]]))</f>
        <v>6</v>
      </c>
      <c r="N227">
        <f>IF(TbRegistroSaídas[[#This Row],[Data do Caixa Previsto]]="",0,YEAR(TbRegistroSaídas[[#This Row],[Data do Caixa Previsto]]))</f>
        <v>2019</v>
      </c>
      <c r="O227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8" spans="2:15" x14ac:dyDescent="0.25">
      <c r="B228" s="8">
        <v>43664</v>
      </c>
      <c r="C228" s="8">
        <v>43632</v>
      </c>
      <c r="D228" s="8">
        <v>43664</v>
      </c>
      <c r="E228" t="s">
        <v>37</v>
      </c>
      <c r="F228" t="s">
        <v>35</v>
      </c>
      <c r="G228" t="s">
        <v>505</v>
      </c>
      <c r="H228" s="9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>
        <f>IF(TbRegistroSaídas[[#This Row],[Data do Caixa Previsto]]="",0,MONTH(TbRegistroSaídas[[#This Row],[Data do Caixa Previsto]]))</f>
        <v>7</v>
      </c>
      <c r="N228">
        <f>IF(TbRegistroSaídas[[#This Row],[Data do Caixa Previsto]]="",0,YEAR(TbRegistroSaídas[[#This Row],[Data do Caixa Previsto]]))</f>
        <v>2019</v>
      </c>
      <c r="O228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29" spans="2:15" x14ac:dyDescent="0.25">
      <c r="B229" s="8" t="s">
        <v>68</v>
      </c>
      <c r="C229" s="8">
        <v>43635</v>
      </c>
      <c r="D229" s="8">
        <v>43686</v>
      </c>
      <c r="E229" t="s">
        <v>37</v>
      </c>
      <c r="F229" t="s">
        <v>35</v>
      </c>
      <c r="G229" t="s">
        <v>506</v>
      </c>
      <c r="H229" s="9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>
        <f>IF(TbRegistroSaídas[[#This Row],[Data do Caixa Previsto]]="",0,MONTH(TbRegistroSaídas[[#This Row],[Data do Caixa Previsto]]))</f>
        <v>8</v>
      </c>
      <c r="N229">
        <f>IF(TbRegistroSaídas[[#This Row],[Data do Caixa Previsto]]="",0,YEAR(TbRegistroSaídas[[#This Row],[Data do Caixa Previsto]]))</f>
        <v>2019</v>
      </c>
      <c r="O229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1229</v>
      </c>
    </row>
    <row r="230" spans="2:15" x14ac:dyDescent="0.25">
      <c r="B230" s="8">
        <v>43637</v>
      </c>
      <c r="C230" s="8">
        <v>43637</v>
      </c>
      <c r="D230" s="8">
        <v>43637</v>
      </c>
      <c r="E230" t="s">
        <v>37</v>
      </c>
      <c r="F230" t="s">
        <v>35</v>
      </c>
      <c r="G230" t="s">
        <v>507</v>
      </c>
      <c r="H230" s="9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>
        <f>IF(TbRegistroSaídas[[#This Row],[Data do Caixa Previsto]]="",0,MONTH(TbRegistroSaídas[[#This Row],[Data do Caixa Previsto]]))</f>
        <v>6</v>
      </c>
      <c r="N230">
        <f>IF(TbRegistroSaídas[[#This Row],[Data do Caixa Previsto]]="",0,YEAR(TbRegistroSaídas[[#This Row],[Data do Caixa Previsto]]))</f>
        <v>2019</v>
      </c>
      <c r="O230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1" spans="2:15" x14ac:dyDescent="0.25">
      <c r="B231" s="8">
        <v>43639</v>
      </c>
      <c r="C231" s="8">
        <v>43639</v>
      </c>
      <c r="D231" s="8">
        <v>43639</v>
      </c>
      <c r="E231" t="s">
        <v>37</v>
      </c>
      <c r="F231" t="s">
        <v>35</v>
      </c>
      <c r="G231" t="s">
        <v>508</v>
      </c>
      <c r="H231" s="9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>
        <f>IF(TbRegistroSaídas[[#This Row],[Data do Caixa Previsto]]="",0,MONTH(TbRegistroSaídas[[#This Row],[Data do Caixa Previsto]]))</f>
        <v>6</v>
      </c>
      <c r="N231">
        <f>IF(TbRegistroSaídas[[#This Row],[Data do Caixa Previsto]]="",0,YEAR(TbRegistroSaídas[[#This Row],[Data do Caixa Previsto]]))</f>
        <v>2019</v>
      </c>
      <c r="O231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  <row r="232" spans="2:15" x14ac:dyDescent="0.25">
      <c r="B232" s="8">
        <v>43653</v>
      </c>
      <c r="C232" s="8">
        <v>43646</v>
      </c>
      <c r="D232" s="8">
        <v>43653</v>
      </c>
      <c r="E232" t="s">
        <v>37</v>
      </c>
      <c r="F232" t="s">
        <v>44</v>
      </c>
      <c r="G232" t="s">
        <v>509</v>
      </c>
      <c r="H232" s="9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>
        <f>IF(TbRegistroSaídas[[#This Row],[Data do Caixa Previsto]]="",0,MONTH(TbRegistroSaídas[[#This Row],[Data do Caixa Previsto]]))</f>
        <v>7</v>
      </c>
      <c r="N232">
        <f>IF(TbRegistroSaídas[[#This Row],[Data do Caixa Previsto]]="",0,YEAR(TbRegistroSaídas[[#This Row],[Data do Caixa Previsto]]))</f>
        <v>2019</v>
      </c>
      <c r="O232">
        <f ca="1">IF(TbRegistroSaídas[[#This Row],[Data do Caixa Realizado]]&lt;&gt;"",
    IF(TbRegistroSaídas[[#This Row],[Data do Caixa Realizado]]&gt;TbRegistroSaídas[[#This Row],[Data do Caixa Previsto]],
        TbRegistroSaídas[[#This Row],[Data do Caixa Realizado]]-TbRegistroSaídas[[#This Row],[Data do Caixa Previsto]],
        0
    ),
    IF(TODAY()&gt;TbRegistroSaídas[[#This Row],[Data do Caixa Previsto]],
        TODAY()-TbRegistroSaídas[[#This Row],[Data do Caixa Previsto]],
        0
    )
)</f>
        <v>0</v>
      </c>
    </row>
  </sheetData>
  <dataValidations count="2">
    <dataValidation type="list" allowBlank="1" showInputMessage="1" showErrorMessage="1" sqref="E4:E232" xr:uid="{00000000-0002-0000-0700-000000000000}">
      <formula1>PCSaídasN1_Nível_1</formula1>
    </dataValidation>
    <dataValidation type="list" allowBlank="1" showInputMessage="1" showErrorMessage="1" sqref="F4:F232" xr:uid="{00000000-0002-0000-0700-000001000000}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6"/>
  <sheetViews>
    <sheetView showGridLines="0" workbookViewId="0"/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609</v>
      </c>
      <c r="C1" s="1"/>
      <c r="D1" s="1"/>
      <c r="E1" s="1"/>
      <c r="F1" s="1"/>
      <c r="G1" s="1"/>
      <c r="H1" s="1"/>
      <c r="I1" s="1"/>
      <c r="J1" s="126" t="s">
        <v>13</v>
      </c>
      <c r="K1" s="126"/>
      <c r="L1" s="126"/>
      <c r="M1" s="126"/>
      <c r="N1" s="126"/>
    </row>
    <row r="2" spans="1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0.100000000000001" customHeight="1" x14ac:dyDescent="0.25">
      <c r="B3" s="7" t="s">
        <v>511</v>
      </c>
      <c r="C3" s="15">
        <v>2019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20.100000000000001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6" t="s">
        <v>512</v>
      </c>
    </row>
    <row r="7" spans="1:14" ht="20.100000000000001" customHeight="1" x14ac:dyDescent="0.25">
      <c r="B7" s="19" t="s">
        <v>513</v>
      </c>
      <c r="C7" s="17" t="s">
        <v>517</v>
      </c>
      <c r="D7" s="17" t="s">
        <v>518</v>
      </c>
      <c r="E7" s="17" t="s">
        <v>519</v>
      </c>
      <c r="F7" s="17" t="s">
        <v>520</v>
      </c>
      <c r="G7" s="17" t="s">
        <v>521</v>
      </c>
      <c r="H7" s="17" t="s">
        <v>522</v>
      </c>
      <c r="I7" s="17" t="s">
        <v>523</v>
      </c>
      <c r="J7" s="17" t="s">
        <v>524</v>
      </c>
      <c r="K7" s="17" t="s">
        <v>525</v>
      </c>
      <c r="L7" s="17" t="s">
        <v>526</v>
      </c>
      <c r="M7" s="17" t="s">
        <v>527</v>
      </c>
      <c r="N7" s="18" t="s">
        <v>528</v>
      </c>
    </row>
    <row r="8" spans="1:14" ht="20.100000000000001" customHeight="1" x14ac:dyDescent="0.25">
      <c r="B8" s="25" t="s">
        <v>529</v>
      </c>
      <c r="C8" s="20">
        <f>SUMIFS(TbRegistroEntradas[Valor],TbRegistroEntradas[Ano Caixa],"&lt;"&amp;C3,TbRegistroEntradas[Ano Caixa],"&lt;&gt;0")-SUMIFS(TbRegistroSaídas[Valor],TbRegistroSaídas[Ano Caixa],"&lt;"&amp;C3,TbRegistroSaídas[Ano Caixa],"&lt;&gt;0")</f>
        <v>55108</v>
      </c>
      <c r="D8" s="20">
        <f>C11</f>
        <v>40555</v>
      </c>
      <c r="E8" s="20">
        <f t="shared" ref="E8:N8" si="0">D11</f>
        <v>41511</v>
      </c>
      <c r="F8" s="20">
        <f t="shared" si="0"/>
        <v>53246</v>
      </c>
      <c r="G8" s="20">
        <f t="shared" si="0"/>
        <v>39267</v>
      </c>
      <c r="H8" s="20">
        <f t="shared" si="0"/>
        <v>28688</v>
      </c>
      <c r="I8" s="20">
        <f t="shared" si="0"/>
        <v>19950</v>
      </c>
      <c r="J8" s="20">
        <f t="shared" si="0"/>
        <v>16469</v>
      </c>
      <c r="K8" s="20">
        <f t="shared" si="0"/>
        <v>19070</v>
      </c>
      <c r="L8" s="20">
        <f t="shared" si="0"/>
        <v>20549</v>
      </c>
      <c r="M8" s="20">
        <f t="shared" si="0"/>
        <v>21057</v>
      </c>
      <c r="N8" s="21">
        <f t="shared" si="0"/>
        <v>21057</v>
      </c>
    </row>
    <row r="9" spans="1:14" ht="20.100000000000001" customHeight="1" x14ac:dyDescent="0.25">
      <c r="B9" s="25" t="s">
        <v>514</v>
      </c>
      <c r="C9" s="20">
        <f>SUMIFS(TbRegistroEntradas[Valor],TbRegistroEntradas[Mês Caixa],C5,TbRegistroEntradas[Ano Caixa],$C$3)</f>
        <v>17211</v>
      </c>
      <c r="D9" s="20">
        <f>SUMIFS(TbRegistroEntradas[Valor],TbRegistroEntradas[Mês Caixa],D5,TbRegistroEntradas[Ano Caixa],$C$3)</f>
        <v>25105</v>
      </c>
      <c r="E9" s="20">
        <f>SUMIFS(TbRegistroEntradas[Valor],TbRegistroEntradas[Mês Caixa],E5,TbRegistroEntradas[Ano Caixa],$C$3)</f>
        <v>34872</v>
      </c>
      <c r="F9" s="20">
        <f>SUMIFS(TbRegistroEntradas[Valor],TbRegistroEntradas[Mês Caixa],F5,TbRegistroEntradas[Ano Caixa],$C$3)</f>
        <v>13810</v>
      </c>
      <c r="G9" s="20">
        <f>SUMIFS(TbRegistroEntradas[Valor],TbRegistroEntradas[Mês Caixa],G5,TbRegistroEntradas[Ano Caixa],$C$3)</f>
        <v>16506</v>
      </c>
      <c r="H9" s="20">
        <f>SUMIFS(TbRegistroEntradas[Valor],TbRegistroEntradas[Mês Caixa],H5,TbRegistroEntradas[Ano Caixa],$C$3)</f>
        <v>12345</v>
      </c>
      <c r="I9" s="20">
        <f>SUMIFS(TbRegistroEntradas[Valor],TbRegistroEntradas[Mês Caixa],I5,TbRegistroEntradas[Ano Caixa],$C$3)</f>
        <v>4849</v>
      </c>
      <c r="J9" s="20">
        <f>SUMIFS(TbRegistroEntradas[Valor],TbRegistroEntradas[Mês Caixa],J5,TbRegistroEntradas[Ano Caixa],$C$3)</f>
        <v>2601</v>
      </c>
      <c r="K9" s="20">
        <f>SUMIFS(TbRegistroEntradas[Valor],TbRegistroEntradas[Mês Caixa],K5,TbRegistroEntradas[Ano Caixa],$C$3)</f>
        <v>1479</v>
      </c>
      <c r="L9" s="20">
        <f>SUMIFS(TbRegistroEntradas[Valor],TbRegistroEntradas[Mês Caixa],L5,TbRegistroEntradas[Ano Caixa],$C$3)</f>
        <v>508</v>
      </c>
      <c r="M9" s="20">
        <f>SUMIFS(TbRegistroEntradas[Valor],TbRegistroEntradas[Mês Caixa],M5,TbRegistroEntradas[Ano Caixa],$C$3)</f>
        <v>0</v>
      </c>
      <c r="N9" s="21">
        <f>SUMIFS(TbRegistroEntradas[Valor],TbRegistroEntradas[Mês Caixa],N5,TbRegistroEntradas[Ano Caixa],$C$3)</f>
        <v>0</v>
      </c>
    </row>
    <row r="10" spans="1:14" ht="20.100000000000001" customHeight="1" x14ac:dyDescent="0.25">
      <c r="B10" s="25" t="s">
        <v>515</v>
      </c>
      <c r="C10" s="20">
        <f>SUMIFS(TbRegistroSaídas[Valor],TbRegistroSaídas[Mês Caixa],C5,TbRegistroSaídas[Ano Caixa],$C$3)</f>
        <v>31764</v>
      </c>
      <c r="D10" s="20">
        <f>SUMIFS(TbRegistroSaídas[Valor],TbRegistroSaídas[Mês Caixa],D5,TbRegistroSaídas[Ano Caixa],$C$3)</f>
        <v>24149</v>
      </c>
      <c r="E10" s="20">
        <f>SUMIFS(TbRegistroSaídas[Valor],TbRegistroSaídas[Mês Caixa],E5,TbRegistroSaídas[Ano Caixa],$C$3)</f>
        <v>23137</v>
      </c>
      <c r="F10" s="20">
        <f>SUMIFS(TbRegistroSaídas[Valor],TbRegistroSaídas[Mês Caixa],F5,TbRegistroSaídas[Ano Caixa],$C$3)</f>
        <v>27789</v>
      </c>
      <c r="G10" s="20">
        <f>SUMIFS(TbRegistroSaídas[Valor],TbRegistroSaídas[Mês Caixa],G5,TbRegistroSaídas[Ano Caixa],$C$3)</f>
        <v>27085</v>
      </c>
      <c r="H10" s="20">
        <f>SUMIFS(TbRegistroSaídas[Valor],TbRegistroSaídas[Mês Caixa],H5,TbRegistroSaídas[Ano Caixa],$C$3)</f>
        <v>21083</v>
      </c>
      <c r="I10" s="20">
        <f>SUMIFS(TbRegistroSaídas[Valor],TbRegistroSaídas[Mês Caixa],I5,TbRegistroSaídas[Ano Caixa],$C$3)</f>
        <v>8330</v>
      </c>
      <c r="J10" s="20">
        <f>SUMIFS(TbRegistroSaídas[Valor],TbRegistroSaídas[Mês Caixa],J5,TbRegistroSaídas[Ano Caixa],$C$3)</f>
        <v>0</v>
      </c>
      <c r="K10" s="20">
        <f>SUMIFS(TbRegistroSaídas[Valor],TbRegistroSaídas[Mês Caixa],K5,TbRegistroSaídas[Ano Caixa],$C$3)</f>
        <v>0</v>
      </c>
      <c r="L10" s="20">
        <f>SUMIFS(TbRegistroSaídas[Valor],TbRegistroSaídas[Mês Caixa],L5,TbRegistroSaídas[Ano Caixa],$C$3)</f>
        <v>0</v>
      </c>
      <c r="M10" s="20">
        <f>SUMIFS(TbRegistroSaídas[Valor],TbRegistroSaídas[Mês Caixa],M5,TbRegistroSaídas[Ano Caixa],$C$3)</f>
        <v>0</v>
      </c>
      <c r="N10" s="21">
        <f>SUMIFS(TbRegistroSaídas[Valor],TbRegistroSaídas[Mês Caixa],N5,TbRegistroSaídas[Ano Caixa],$C$3)</f>
        <v>0</v>
      </c>
    </row>
    <row r="11" spans="1:14" ht="20.100000000000001" customHeight="1" x14ac:dyDescent="0.25">
      <c r="B11" s="28" t="s">
        <v>516</v>
      </c>
      <c r="C11" s="22">
        <f>C8+C9-C10</f>
        <v>40555</v>
      </c>
      <c r="D11" s="22">
        <f t="shared" ref="D11:N11" si="1">D8+D9-D10</f>
        <v>41511</v>
      </c>
      <c r="E11" s="22">
        <f t="shared" si="1"/>
        <v>53246</v>
      </c>
      <c r="F11" s="22">
        <f t="shared" si="1"/>
        <v>39267</v>
      </c>
      <c r="G11" s="22">
        <f t="shared" si="1"/>
        <v>28688</v>
      </c>
      <c r="H11" s="22">
        <f t="shared" si="1"/>
        <v>19950</v>
      </c>
      <c r="I11" s="22">
        <f t="shared" si="1"/>
        <v>16469</v>
      </c>
      <c r="J11" s="22">
        <f t="shared" si="1"/>
        <v>19070</v>
      </c>
      <c r="K11" s="22">
        <f t="shared" si="1"/>
        <v>20549</v>
      </c>
      <c r="L11" s="22">
        <f t="shared" si="1"/>
        <v>21057</v>
      </c>
      <c r="M11" s="22">
        <f t="shared" si="1"/>
        <v>21057</v>
      </c>
      <c r="N11" s="23">
        <f t="shared" si="1"/>
        <v>21057</v>
      </c>
    </row>
    <row r="12" spans="1:14" ht="20.100000000000001" customHeight="1" x14ac:dyDescent="0.25"/>
    <row r="13" spans="1:14" ht="20.100000000000001" customHeight="1" x14ac:dyDescent="0.25">
      <c r="B13" s="24" t="s">
        <v>530</v>
      </c>
    </row>
    <row r="14" spans="1:14" ht="20.100000000000001" customHeight="1" x14ac:dyDescent="0.25">
      <c r="B14" s="19" t="s">
        <v>513</v>
      </c>
      <c r="C14" s="17" t="s">
        <v>517</v>
      </c>
      <c r="D14" s="17" t="s">
        <v>518</v>
      </c>
      <c r="E14" s="17" t="s">
        <v>519</v>
      </c>
      <c r="F14" s="17" t="s">
        <v>520</v>
      </c>
      <c r="G14" s="17" t="s">
        <v>521</v>
      </c>
      <c r="H14" s="17" t="s">
        <v>522</v>
      </c>
      <c r="I14" s="17" t="s">
        <v>523</v>
      </c>
      <c r="J14" s="17" t="s">
        <v>524</v>
      </c>
      <c r="K14" s="17" t="s">
        <v>525</v>
      </c>
      <c r="L14" s="17" t="s">
        <v>526</v>
      </c>
      <c r="M14" s="17" t="s">
        <v>527</v>
      </c>
      <c r="N14" s="18" t="s">
        <v>528</v>
      </c>
    </row>
    <row r="15" spans="1:14" ht="20.100000000000001" customHeight="1" x14ac:dyDescent="0.25">
      <c r="B15" s="25" t="s">
        <v>529</v>
      </c>
      <c r="C15" s="20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20">
        <f>C18</f>
        <v>34684</v>
      </c>
      <c r="E15" s="20">
        <f t="shared" ref="E15:N15" si="2">D18</f>
        <v>40111</v>
      </c>
      <c r="F15" s="20">
        <f t="shared" si="2"/>
        <v>27220</v>
      </c>
      <c r="G15" s="20">
        <f t="shared" si="2"/>
        <v>23048</v>
      </c>
      <c r="H15" s="20">
        <f t="shared" si="2"/>
        <v>8340</v>
      </c>
      <c r="I15" s="20">
        <f t="shared" si="2"/>
        <v>3236</v>
      </c>
      <c r="J15" s="20">
        <f t="shared" si="2"/>
        <v>3236</v>
      </c>
      <c r="K15" s="20">
        <f t="shared" si="2"/>
        <v>3236</v>
      </c>
      <c r="L15" s="20">
        <f t="shared" si="2"/>
        <v>3236</v>
      </c>
      <c r="M15" s="20">
        <f t="shared" si="2"/>
        <v>3236</v>
      </c>
      <c r="N15" s="21">
        <f t="shared" si="2"/>
        <v>3236</v>
      </c>
    </row>
    <row r="16" spans="1:14" ht="20.100000000000001" customHeight="1" x14ac:dyDescent="0.25">
      <c r="B16" s="25" t="s">
        <v>514</v>
      </c>
      <c r="C16" s="20">
        <f>SUMIFS(TbRegistroEntradas[Valor],TbRegistroEntradas[Mês Competência],C5,TbRegistroEntradas[Ano Competência],$C$3)</f>
        <v>22897</v>
      </c>
      <c r="D16" s="20">
        <f>SUMIFS(TbRegistroEntradas[Valor],TbRegistroEntradas[Mês Competência],D5,TbRegistroEntradas[Ano Competência],$C$3)</f>
        <v>31755</v>
      </c>
      <c r="E16" s="20">
        <f>SUMIFS(TbRegistroEntradas[Valor],TbRegistroEntradas[Mês Competência],E5,TbRegistroEntradas[Ano Competência],$C$3)</f>
        <v>18601</v>
      </c>
      <c r="F16" s="20">
        <f>SUMIFS(TbRegistroEntradas[Valor],TbRegistroEntradas[Mês Competência],F5,TbRegistroEntradas[Ano Competência],$C$3)</f>
        <v>22939</v>
      </c>
      <c r="G16" s="20">
        <f>SUMIFS(TbRegistroEntradas[Valor],TbRegistroEntradas[Mês Competência],G5,TbRegistroEntradas[Ano Competência],$C$3)</f>
        <v>22602</v>
      </c>
      <c r="H16" s="20">
        <f>SUMIFS(TbRegistroEntradas[Valor],TbRegistroEntradas[Mês Competência],H5,TbRegistroEntradas[Ano Competência],$C$3)</f>
        <v>11865</v>
      </c>
      <c r="I16" s="20">
        <f>SUMIFS(TbRegistroEntradas[Valor],TbRegistroEntradas[Mês Competência],I5,TbRegistroEntradas[Ano Competência],$C$3)</f>
        <v>0</v>
      </c>
      <c r="J16" s="20">
        <f>SUMIFS(TbRegistroEntradas[Valor],TbRegistroEntradas[Mês Competência],J5,TbRegistroEntradas[Ano Competência],$C$3)</f>
        <v>0</v>
      </c>
      <c r="K16" s="20">
        <f>SUMIFS(TbRegistroEntradas[Valor],TbRegistroEntradas[Mês Competência],K5,TbRegistroEntradas[Ano Competência],$C$3)</f>
        <v>0</v>
      </c>
      <c r="L16" s="20">
        <f>SUMIFS(TbRegistroEntradas[Valor],TbRegistroEntradas[Mês Competência],L5,TbRegistroEntradas[Ano Competência],$C$3)</f>
        <v>0</v>
      </c>
      <c r="M16" s="20">
        <f>SUMIFS(TbRegistroEntradas[Valor],TbRegistroEntradas[Mês Competência],M5,TbRegistroEntradas[Ano Competência],$C$3)</f>
        <v>0</v>
      </c>
      <c r="N16" s="21">
        <f>SUMIFS(TbRegistroEntradas[Valor],TbRegistroEntradas[Mês Competência],N5,TbRegistroEntradas[Ano Competência],$C$3)</f>
        <v>0</v>
      </c>
    </row>
    <row r="17" spans="2:14" ht="20.100000000000001" customHeight="1" x14ac:dyDescent="0.25">
      <c r="B17" s="25" t="s">
        <v>515</v>
      </c>
      <c r="C17" s="20">
        <f>SUMIFS(TbRegistroSaídas[Valor],TbRegistroSaídas[Mês Competência],C5,TbRegistroSaídas[Ano Competência],$C$3)</f>
        <v>30580</v>
      </c>
      <c r="D17" s="20">
        <f>SUMIFS(TbRegistroSaídas[Valor],TbRegistroSaídas[Mês Competência],D5,TbRegistroSaídas[Ano Competência],$C$3)</f>
        <v>26328</v>
      </c>
      <c r="E17" s="20">
        <f>SUMIFS(TbRegistroSaídas[Valor],TbRegistroSaídas[Mês Competência],E5,TbRegistroSaídas[Ano Competência],$C$3)</f>
        <v>31492</v>
      </c>
      <c r="F17" s="20">
        <f>SUMIFS(TbRegistroSaídas[Valor],TbRegistroSaídas[Mês Competência],F5,TbRegistroSaídas[Ano Competência],$C$3)</f>
        <v>27111</v>
      </c>
      <c r="G17" s="20">
        <f>SUMIFS(TbRegistroSaídas[Valor],TbRegistroSaídas[Mês Competência],G5,TbRegistroSaídas[Ano Competência],$C$3)</f>
        <v>37310</v>
      </c>
      <c r="H17" s="20">
        <f>SUMIFS(TbRegistroSaídas[Valor],TbRegistroSaídas[Mês Competência],H5,TbRegistroSaídas[Ano Competência],$C$3)</f>
        <v>16969</v>
      </c>
      <c r="I17" s="20">
        <f>SUMIFS(TbRegistroSaídas[Valor],TbRegistroSaídas[Mês Competência],I5,TbRegistroSaídas[Ano Competência],$C$3)</f>
        <v>0</v>
      </c>
      <c r="J17" s="20">
        <f>SUMIFS(TbRegistroSaídas[Valor],TbRegistroSaídas[Mês Competência],J5,TbRegistroSaídas[Ano Competência],$C$3)</f>
        <v>0</v>
      </c>
      <c r="K17" s="20">
        <f>SUMIFS(TbRegistroSaídas[Valor],TbRegistroSaídas[Mês Competência],K5,TbRegistroSaídas[Ano Competência],$C$3)</f>
        <v>0</v>
      </c>
      <c r="L17" s="20">
        <f>SUMIFS(TbRegistroSaídas[Valor],TbRegistroSaídas[Mês Competência],L5,TbRegistroSaídas[Ano Competência],$C$3)</f>
        <v>0</v>
      </c>
      <c r="M17" s="20">
        <f>SUMIFS(TbRegistroSaídas[Valor],TbRegistroSaídas[Mês Competência],M5,TbRegistroSaídas[Ano Competência],$C$3)</f>
        <v>0</v>
      </c>
      <c r="N17" s="21">
        <f>SUMIFS(TbRegistroSaídas[Valor],TbRegistroSaídas[Mês Competência],N5,TbRegistroSaídas[Ano Competência],$C$3)</f>
        <v>0</v>
      </c>
    </row>
    <row r="18" spans="2:14" ht="20.100000000000001" customHeight="1" x14ac:dyDescent="0.25">
      <c r="B18" s="28" t="s">
        <v>516</v>
      </c>
      <c r="C18" s="22">
        <f>C15+C16-C17</f>
        <v>34684</v>
      </c>
      <c r="D18" s="22">
        <f t="shared" ref="D18:N18" si="3">D15+D16-D17</f>
        <v>40111</v>
      </c>
      <c r="E18" s="22">
        <f t="shared" si="3"/>
        <v>27220</v>
      </c>
      <c r="F18" s="22">
        <f t="shared" si="3"/>
        <v>23048</v>
      </c>
      <c r="G18" s="22">
        <f t="shared" si="3"/>
        <v>8340</v>
      </c>
      <c r="H18" s="22">
        <f t="shared" si="3"/>
        <v>3236</v>
      </c>
      <c r="I18" s="22">
        <f t="shared" si="3"/>
        <v>3236</v>
      </c>
      <c r="J18" s="22">
        <f t="shared" si="3"/>
        <v>3236</v>
      </c>
      <c r="K18" s="22">
        <f t="shared" si="3"/>
        <v>3236</v>
      </c>
      <c r="L18" s="22">
        <f t="shared" si="3"/>
        <v>3236</v>
      </c>
      <c r="M18" s="22">
        <f t="shared" si="3"/>
        <v>3236</v>
      </c>
      <c r="N18" s="23">
        <f t="shared" si="3"/>
        <v>3236</v>
      </c>
    </row>
    <row r="19" spans="2:14" ht="20.100000000000001" customHeight="1" x14ac:dyDescent="0.25"/>
    <row r="20" spans="2:14" ht="20.100000000000001" customHeight="1" x14ac:dyDescent="0.25">
      <c r="B20" s="24" t="s">
        <v>531</v>
      </c>
    </row>
    <row r="21" spans="2:14" ht="20.100000000000001" customHeight="1" x14ac:dyDescent="0.25">
      <c r="B21" s="19" t="s">
        <v>513</v>
      </c>
      <c r="C21" s="17" t="s">
        <v>517</v>
      </c>
      <c r="D21" s="17" t="s">
        <v>518</v>
      </c>
      <c r="E21" s="17" t="s">
        <v>519</v>
      </c>
      <c r="F21" s="17" t="s">
        <v>520</v>
      </c>
      <c r="G21" s="17" t="s">
        <v>521</v>
      </c>
      <c r="H21" s="17" t="s">
        <v>522</v>
      </c>
      <c r="I21" s="17" t="s">
        <v>523</v>
      </c>
      <c r="J21" s="17" t="s">
        <v>524</v>
      </c>
      <c r="K21" s="17" t="s">
        <v>525</v>
      </c>
      <c r="L21" s="17" t="s">
        <v>526</v>
      </c>
      <c r="M21" s="17" t="s">
        <v>527</v>
      </c>
      <c r="N21" s="18" t="s">
        <v>528</v>
      </c>
    </row>
    <row r="22" spans="2:14" ht="20.100000000000001" customHeight="1" x14ac:dyDescent="0.25">
      <c r="B22" s="25" t="s">
        <v>532</v>
      </c>
      <c r="C22" s="20">
        <f>C16</f>
        <v>22897</v>
      </c>
      <c r="D22" s="20">
        <f t="shared" ref="D22:N22" si="4">D16</f>
        <v>31755</v>
      </c>
      <c r="E22" s="20">
        <f t="shared" si="4"/>
        <v>18601</v>
      </c>
      <c r="F22" s="20">
        <f t="shared" si="4"/>
        <v>22939</v>
      </c>
      <c r="G22" s="20">
        <f t="shared" si="4"/>
        <v>22602</v>
      </c>
      <c r="H22" s="20">
        <f t="shared" si="4"/>
        <v>11865</v>
      </c>
      <c r="I22" s="20">
        <f t="shared" si="4"/>
        <v>0</v>
      </c>
      <c r="J22" s="20">
        <f t="shared" si="4"/>
        <v>0</v>
      </c>
      <c r="K22" s="20">
        <f t="shared" si="4"/>
        <v>0</v>
      </c>
      <c r="L22" s="20">
        <f t="shared" si="4"/>
        <v>0</v>
      </c>
      <c r="M22" s="20">
        <f t="shared" si="4"/>
        <v>0</v>
      </c>
      <c r="N22" s="21">
        <f t="shared" si="4"/>
        <v>0</v>
      </c>
    </row>
    <row r="23" spans="2:14" ht="20.100000000000001" customHeight="1" x14ac:dyDescent="0.25">
      <c r="B23" s="25" t="s">
        <v>533</v>
      </c>
      <c r="C23" s="20">
        <f>C17</f>
        <v>30580</v>
      </c>
      <c r="D23" s="20">
        <f t="shared" ref="D23:N23" si="5">D17</f>
        <v>26328</v>
      </c>
      <c r="E23" s="20">
        <f t="shared" si="5"/>
        <v>31492</v>
      </c>
      <c r="F23" s="20">
        <f t="shared" si="5"/>
        <v>27111</v>
      </c>
      <c r="G23" s="20">
        <f t="shared" si="5"/>
        <v>37310</v>
      </c>
      <c r="H23" s="20">
        <f t="shared" si="5"/>
        <v>16969</v>
      </c>
      <c r="I23" s="20">
        <f t="shared" si="5"/>
        <v>0</v>
      </c>
      <c r="J23" s="20">
        <f t="shared" si="5"/>
        <v>0</v>
      </c>
      <c r="K23" s="20">
        <f t="shared" si="5"/>
        <v>0</v>
      </c>
      <c r="L23" s="20">
        <f t="shared" si="5"/>
        <v>0</v>
      </c>
      <c r="M23" s="20">
        <f t="shared" si="5"/>
        <v>0</v>
      </c>
      <c r="N23" s="21">
        <f t="shared" si="5"/>
        <v>0</v>
      </c>
    </row>
    <row r="24" spans="2:14" ht="20.100000000000001" customHeight="1" x14ac:dyDescent="0.25">
      <c r="B24" s="26" t="s">
        <v>534</v>
      </c>
      <c r="C24" s="29">
        <f>IF(C22-C23&gt;0,C22-C23,0)</f>
        <v>0</v>
      </c>
      <c r="D24" s="29">
        <f t="shared" ref="D24:N24" si="6">IF(D22-D23&gt;0,D22-D23,0)</f>
        <v>5427</v>
      </c>
      <c r="E24" s="29">
        <f t="shared" si="6"/>
        <v>0</v>
      </c>
      <c r="F24" s="29">
        <f t="shared" si="6"/>
        <v>0</v>
      </c>
      <c r="G24" s="29">
        <f t="shared" si="6"/>
        <v>0</v>
      </c>
      <c r="H24" s="29">
        <f t="shared" si="6"/>
        <v>0</v>
      </c>
      <c r="I24" s="29">
        <f t="shared" si="6"/>
        <v>0</v>
      </c>
      <c r="J24" s="29">
        <f t="shared" si="6"/>
        <v>0</v>
      </c>
      <c r="K24" s="29">
        <f t="shared" si="6"/>
        <v>0</v>
      </c>
      <c r="L24" s="29">
        <f t="shared" si="6"/>
        <v>0</v>
      </c>
      <c r="M24" s="29">
        <f t="shared" si="6"/>
        <v>0</v>
      </c>
      <c r="N24" s="31">
        <f t="shared" si="6"/>
        <v>0</v>
      </c>
    </row>
    <row r="25" spans="2:14" ht="20.100000000000001" customHeight="1" x14ac:dyDescent="0.25">
      <c r="B25" s="27" t="s">
        <v>535</v>
      </c>
      <c r="C25" s="30">
        <f>IF(C22-C23&lt;0,C22-C23,0)</f>
        <v>-7683</v>
      </c>
      <c r="D25" s="30">
        <f t="shared" ref="D25:N25" si="7">IF(D22-D23&lt;0,D22-D23,0)</f>
        <v>0</v>
      </c>
      <c r="E25" s="30">
        <f t="shared" si="7"/>
        <v>-12891</v>
      </c>
      <c r="F25" s="30">
        <f t="shared" si="7"/>
        <v>-4172</v>
      </c>
      <c r="G25" s="30">
        <f t="shared" si="7"/>
        <v>-14708</v>
      </c>
      <c r="H25" s="30">
        <f t="shared" si="7"/>
        <v>-5104</v>
      </c>
      <c r="I25" s="30">
        <f t="shared" si="7"/>
        <v>0</v>
      </c>
      <c r="J25" s="30">
        <f t="shared" si="7"/>
        <v>0</v>
      </c>
      <c r="K25" s="30">
        <f t="shared" si="7"/>
        <v>0</v>
      </c>
      <c r="L25" s="30">
        <f t="shared" si="7"/>
        <v>0</v>
      </c>
      <c r="M25" s="30">
        <f t="shared" si="7"/>
        <v>0</v>
      </c>
      <c r="N25" s="32">
        <f t="shared" si="7"/>
        <v>0</v>
      </c>
    </row>
    <row r="26" spans="2:14" ht="20.100000000000001" customHeight="1" x14ac:dyDescent="0.25">
      <c r="B26" s="27" t="s">
        <v>536</v>
      </c>
      <c r="C26" s="30">
        <f>C22-C23</f>
        <v>-7683</v>
      </c>
      <c r="D26" s="30">
        <f>D22-D23+C26</f>
        <v>-2256</v>
      </c>
      <c r="E26" s="30">
        <f t="shared" ref="E26:N26" si="8">E22-E23+D26</f>
        <v>-15147</v>
      </c>
      <c r="F26" s="30">
        <f t="shared" si="8"/>
        <v>-19319</v>
      </c>
      <c r="G26" s="30">
        <f t="shared" si="8"/>
        <v>-34027</v>
      </c>
      <c r="H26" s="30">
        <f t="shared" si="8"/>
        <v>-39131</v>
      </c>
      <c r="I26" s="30">
        <f t="shared" si="8"/>
        <v>-39131</v>
      </c>
      <c r="J26" s="30">
        <f t="shared" si="8"/>
        <v>-39131</v>
      </c>
      <c r="K26" s="30">
        <f t="shared" si="8"/>
        <v>-39131</v>
      </c>
      <c r="L26" s="30">
        <f t="shared" si="8"/>
        <v>-39131</v>
      </c>
      <c r="M26" s="30">
        <f t="shared" si="8"/>
        <v>-39131</v>
      </c>
      <c r="N26" s="32">
        <f t="shared" si="8"/>
        <v>-39131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18</vt:i4>
      </vt:variant>
    </vt:vector>
  </HeadingPairs>
  <TitlesOfParts>
    <vt:vector size="36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DashBoardFinanceiroAnual</vt:lpstr>
      <vt:lpstr>DashBoardFinanceiroAnualD</vt:lpstr>
      <vt:lpstr>DashBoardFinanceiroAtual</vt:lpstr>
      <vt:lpstr>DashBoardFinanceiroAtualD</vt:lpstr>
      <vt:lpstr>DashBoardFinanceiroAtual!PCEntradasN1_Nível_1</vt:lpstr>
      <vt:lpstr>DashBoardFinanceiroAtualD!PCEntradasN1_Nível_1</vt:lpstr>
      <vt:lpstr>PCEntradasN1_Nível_1</vt:lpstr>
      <vt:lpstr>DashBoardFinanceiroAtual!PCEntradasN2_Nível_1</vt:lpstr>
      <vt:lpstr>DashBoardFinanceiroAtualD!PCEntradasN2_Nível_1</vt:lpstr>
      <vt:lpstr>PCEntradasN2_Nível_1</vt:lpstr>
      <vt:lpstr>DashBoardFinanceiroAtual!PCEntradasN2_Nível_2</vt:lpstr>
      <vt:lpstr>DashBoardFinanceiroAtualD!PCEntradasN2_Nível_2</vt:lpstr>
      <vt:lpstr>PCEntradasN2_Nível_2</vt:lpstr>
      <vt:lpstr>DashBoardFinanceiroAtual!PCSaídasN1_Nível_1</vt:lpstr>
      <vt:lpstr>DashBoardFinanceiroAtualD!PCSaídasN1_Nível_1</vt:lpstr>
      <vt:lpstr>PCSaídasN1_Nível_1</vt:lpstr>
      <vt:lpstr>DashBoardFinanceiroAtual!PCSaídasN2_Nível_1</vt:lpstr>
      <vt:lpstr>DashBoardFinanceiroAtualD!PCSaídasN2_Nível_1</vt:lpstr>
      <vt:lpstr>PCSaídasN2_Nível_1</vt:lpstr>
      <vt:lpstr>DashBoardFinanceiroAtual!PCSaídasN2_Nível_2</vt:lpstr>
      <vt:lpstr>DashBoardFinanceiroAtualD!PCSaídasN2_Nível_2</vt:lpstr>
      <vt:lpstr>PCSaídasN2_Nível_2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gean</cp:lastModifiedBy>
  <dcterms:created xsi:type="dcterms:W3CDTF">2019-06-01T17:21:50Z</dcterms:created>
  <dcterms:modified xsi:type="dcterms:W3CDTF">2022-12-20T22:06:40Z</dcterms:modified>
</cp:coreProperties>
</file>