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JPSZ\Desktop\STUDIA\doktorat_git\analizy_wynikow\"/>
    </mc:Choice>
  </mc:AlternateContent>
  <xr:revisionPtr revIDLastSave="0" documentId="13_ncr:1_{FF1E7EC7-3DCC-4442-B295-58CDB717CD45}" xr6:coauthVersionLast="47" xr6:coauthVersionMax="47" xr10:uidLastSave="{00000000-0000-0000-0000-000000000000}"/>
  <bookViews>
    <workbookView xWindow="870" yWindow="-83" windowWidth="23213" windowHeight="13666" activeTab="1" xr2:uid="{00000000-000D-0000-FFFF-FFFF00000000}"/>
  </bookViews>
  <sheets>
    <sheet name="Analizy_do_RV" sheetId="6" r:id="rId1"/>
    <sheet name="Perspektywy2022" sheetId="8" r:id="rId2"/>
    <sheet name="Webmetrics23H1_Poland" sheetId="10" r:id="rId3"/>
    <sheet name="THE WUR2023" sheetId="1" r:id="rId4"/>
    <sheet name="ARWU2022" sheetId="3" r:id="rId5"/>
    <sheet name="QS2023" sheetId="4" r:id="rId6"/>
    <sheet name="Webometrics2023H1" sheetId="5" r:id="rId7"/>
    <sheet name="ARWU_test" sheetId="2" r:id="rId8"/>
    <sheet name="RankingRV250" sheetId="7" r:id="rId9"/>
    <sheet name="Perspektywy2022(surowe)" sheetId="9" r:id="rId10"/>
  </sheets>
  <definedNames>
    <definedName name="_xlnm._FilterDatabase" localSheetId="1" hidden="1">Perspektywy2022!$BD$2:$BK$2</definedName>
    <definedName name="solver_adj" localSheetId="0" hidden="1">Analizy_do_RV!$N$3</definedName>
    <definedName name="solver_adj" localSheetId="8" hidden="1">RankingRV250!#REF!</definedName>
    <definedName name="solver_cvg" localSheetId="0" hidden="1">0.0001</definedName>
    <definedName name="solver_cvg" localSheetId="8" hidden="1">0.0001</definedName>
    <definedName name="solver_drv" localSheetId="0" hidden="1">1</definedName>
    <definedName name="solver_drv" localSheetId="8" hidden="1">1</definedName>
    <definedName name="solver_eng" localSheetId="0" hidden="1">1</definedName>
    <definedName name="solver_eng" localSheetId="8" hidden="1">1</definedName>
    <definedName name="solver_est" localSheetId="0" hidden="1">1</definedName>
    <definedName name="solver_est" localSheetId="8" hidden="1">1</definedName>
    <definedName name="solver_itr" localSheetId="0" hidden="1">2147483647</definedName>
    <definedName name="solver_itr" localSheetId="8" hidden="1">2147483647</definedName>
    <definedName name="solver_mip" localSheetId="0" hidden="1">2147483647</definedName>
    <definedName name="solver_mip" localSheetId="8" hidden="1">2147483647</definedName>
    <definedName name="solver_mni" localSheetId="0" hidden="1">30</definedName>
    <definedName name="solver_mni" localSheetId="8" hidden="1">30</definedName>
    <definedName name="solver_mrt" localSheetId="0" hidden="1">0.075</definedName>
    <definedName name="solver_mrt" localSheetId="8" hidden="1">0.075</definedName>
    <definedName name="solver_msl" localSheetId="0" hidden="1">2</definedName>
    <definedName name="solver_msl" localSheetId="8" hidden="1">2</definedName>
    <definedName name="solver_neg" localSheetId="0" hidden="1">1</definedName>
    <definedName name="solver_neg" localSheetId="8" hidden="1">1</definedName>
    <definedName name="solver_nod" localSheetId="0" hidden="1">2147483647</definedName>
    <definedName name="solver_nod" localSheetId="8" hidden="1">2147483647</definedName>
    <definedName name="solver_num" localSheetId="0" hidden="1">0</definedName>
    <definedName name="solver_num" localSheetId="8" hidden="1">0</definedName>
    <definedName name="solver_nwt" localSheetId="0" hidden="1">1</definedName>
    <definedName name="solver_nwt" localSheetId="8" hidden="1">1</definedName>
    <definedName name="solver_opt" localSheetId="0" hidden="1">Analizy_do_RV!$AE$205</definedName>
    <definedName name="solver_opt" localSheetId="8" hidden="1">RankingRV250!#REF!</definedName>
    <definedName name="solver_pre" localSheetId="0" hidden="1">0.000001</definedName>
    <definedName name="solver_pre" localSheetId="8" hidden="1">0.000001</definedName>
    <definedName name="solver_rbv" localSheetId="0" hidden="1">1</definedName>
    <definedName name="solver_rbv" localSheetId="8" hidden="1">1</definedName>
    <definedName name="solver_rlx" localSheetId="0" hidden="1">2</definedName>
    <definedName name="solver_rlx" localSheetId="8" hidden="1">2</definedName>
    <definedName name="solver_rsd" localSheetId="0" hidden="1">0</definedName>
    <definedName name="solver_rsd" localSheetId="8" hidden="1">0</definedName>
    <definedName name="solver_scl" localSheetId="0" hidden="1">1</definedName>
    <definedName name="solver_scl" localSheetId="8" hidden="1">1</definedName>
    <definedName name="solver_sho" localSheetId="0" hidden="1">2</definedName>
    <definedName name="solver_sho" localSheetId="8" hidden="1">2</definedName>
    <definedName name="solver_ssz" localSheetId="0" hidden="1">100</definedName>
    <definedName name="solver_ssz" localSheetId="8" hidden="1">100</definedName>
    <definedName name="solver_tim" localSheetId="0" hidden="1">2147483647</definedName>
    <definedName name="solver_tim" localSheetId="8" hidden="1">2147483647</definedName>
    <definedName name="solver_tol" localSheetId="0" hidden="1">0.01</definedName>
    <definedName name="solver_tol" localSheetId="8" hidden="1">0.01</definedName>
    <definedName name="solver_typ" localSheetId="0" hidden="1">1</definedName>
    <definedName name="solver_typ" localSheetId="8" hidden="1">1</definedName>
    <definedName name="solver_val" localSheetId="0" hidden="1">0</definedName>
    <definedName name="solver_val" localSheetId="8" hidden="1">0</definedName>
    <definedName name="solver_ver" localSheetId="0" hidden="1">3</definedName>
    <definedName name="solver_ver" localSheetId="8" hidden="1">3</definedName>
  </definedNames>
  <calcPr calcId="191029"/>
  <pivotCaches>
    <pivotCache cacheId="0" r:id="rId11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12" i="8" l="1"/>
  <c r="D127" i="8"/>
  <c r="L127" i="8" s="1"/>
  <c r="H127" i="8" s="1"/>
  <c r="D126" i="8"/>
  <c r="L126" i="8" s="1"/>
  <c r="H126" i="8" s="1"/>
  <c r="D125" i="8"/>
  <c r="L125" i="8" s="1"/>
  <c r="H125" i="8" s="1"/>
  <c r="D124" i="8"/>
  <c r="L124" i="8" s="1"/>
  <c r="H124" i="8" s="1"/>
  <c r="D123" i="8"/>
  <c r="L123" i="8" s="1"/>
  <c r="H123" i="8" s="1"/>
  <c r="D122" i="8"/>
  <c r="L122" i="8" s="1"/>
  <c r="H122" i="8" s="1"/>
  <c r="D121" i="8"/>
  <c r="L121" i="8" s="1"/>
  <c r="H121" i="8" s="1"/>
  <c r="D120" i="8"/>
  <c r="L120" i="8" s="1"/>
  <c r="H120" i="8" s="1"/>
  <c r="D119" i="8"/>
  <c r="L119" i="8" s="1"/>
  <c r="H119" i="8" s="1"/>
  <c r="D118" i="8"/>
  <c r="L118" i="8" s="1"/>
  <c r="H118" i="8" s="1"/>
  <c r="D116" i="8"/>
  <c r="L116" i="8" s="1"/>
  <c r="H116" i="8" s="1"/>
  <c r="D115" i="8"/>
  <c r="L115" i="8" s="1"/>
  <c r="H115" i="8" s="1"/>
  <c r="D114" i="8"/>
  <c r="L114" i="8" s="1"/>
  <c r="H114" i="8" s="1"/>
  <c r="D113" i="8"/>
  <c r="L113" i="8" s="1"/>
  <c r="H113" i="8" s="1"/>
  <c r="D112" i="8"/>
  <c r="D111" i="8"/>
  <c r="L111" i="8" s="1"/>
  <c r="H111" i="8" s="1"/>
  <c r="D110" i="8"/>
  <c r="L110" i="8" s="1"/>
  <c r="H110" i="8" s="1"/>
  <c r="D109" i="8"/>
  <c r="L109" i="8" s="1"/>
  <c r="H109" i="8" s="1"/>
  <c r="D108" i="8"/>
  <c r="L108" i="8" s="1"/>
  <c r="H108" i="8" s="1"/>
  <c r="D107" i="8"/>
  <c r="L107" i="8" s="1"/>
  <c r="H107" i="8" s="1"/>
  <c r="D105" i="8"/>
  <c r="L105" i="8" s="1"/>
  <c r="H105" i="8" s="1"/>
  <c r="D104" i="8"/>
  <c r="L104" i="8" s="1"/>
  <c r="H104" i="8" s="1"/>
  <c r="D103" i="8"/>
  <c r="L103" i="8" s="1"/>
  <c r="H103" i="8" s="1"/>
  <c r="D102" i="8"/>
  <c r="L102" i="8" s="1"/>
  <c r="H102" i="8" s="1"/>
  <c r="D101" i="8"/>
  <c r="L101" i="8" s="1"/>
  <c r="H101" i="8" s="1"/>
  <c r="D100" i="8"/>
  <c r="L100" i="8" s="1"/>
  <c r="H100" i="8" s="1"/>
  <c r="D96" i="8"/>
  <c r="L96" i="8" s="1"/>
  <c r="H96" i="8" s="1"/>
  <c r="D95" i="8"/>
  <c r="L95" i="8" s="1"/>
  <c r="H95" i="8" s="1"/>
  <c r="D94" i="8"/>
  <c r="L94" i="8" s="1"/>
  <c r="H94" i="8" s="1"/>
  <c r="D93" i="8"/>
  <c r="L93" i="8" s="1"/>
  <c r="H93" i="8" s="1"/>
  <c r="D92" i="8"/>
  <c r="L92" i="8" s="1"/>
  <c r="H92" i="8" s="1"/>
  <c r="D91" i="8"/>
  <c r="L91" i="8" s="1"/>
  <c r="D78" i="8"/>
  <c r="L78" i="8" s="1"/>
  <c r="H78" i="8" s="1"/>
  <c r="D77" i="8"/>
  <c r="L77" i="8" s="1"/>
  <c r="H77" i="8" s="1"/>
  <c r="D76" i="8"/>
  <c r="L76" i="8" s="1"/>
  <c r="H76" i="8" s="1"/>
  <c r="D75" i="8"/>
  <c r="L75" i="8" s="1"/>
  <c r="H75" i="8" s="1"/>
  <c r="D74" i="8"/>
  <c r="L74" i="8" s="1"/>
  <c r="D73" i="8"/>
  <c r="L73" i="8" s="1"/>
  <c r="D64" i="8"/>
  <c r="L64" i="8" s="1"/>
  <c r="H64" i="8" s="1"/>
  <c r="D62" i="8"/>
  <c r="L62" i="8" s="1"/>
  <c r="H62" i="8" s="1"/>
  <c r="D61" i="8"/>
  <c r="L61" i="8" s="1"/>
  <c r="H61" i="8" s="1"/>
  <c r="D55" i="8"/>
  <c r="L55" i="8" s="1"/>
  <c r="H55" i="8" s="1"/>
  <c r="D54" i="8"/>
  <c r="L54" i="8" s="1"/>
  <c r="H54" i="8" s="1"/>
  <c r="BH4" i="8"/>
  <c r="BH5" i="8"/>
  <c r="BH6" i="8"/>
  <c r="BH7" i="8"/>
  <c r="BH8" i="8"/>
  <c r="BH9" i="8"/>
  <c r="BH10" i="8"/>
  <c r="BH11" i="8"/>
  <c r="BH12" i="8"/>
  <c r="BH13" i="8"/>
  <c r="BH14" i="8"/>
  <c r="BH15" i="8"/>
  <c r="BH16" i="8"/>
  <c r="BH17" i="8"/>
  <c r="BH18" i="8"/>
  <c r="BH19" i="8"/>
  <c r="BH20" i="8"/>
  <c r="BH21" i="8"/>
  <c r="BH22" i="8"/>
  <c r="BH23" i="8"/>
  <c r="BH24" i="8"/>
  <c r="BH3" i="8"/>
  <c r="AQ3" i="8"/>
  <c r="AQ4" i="8"/>
  <c r="AQ5" i="8"/>
  <c r="AQ6" i="8"/>
  <c r="AQ7" i="8"/>
  <c r="AQ8" i="8"/>
  <c r="AQ9" i="8"/>
  <c r="AQ10" i="8"/>
  <c r="AQ12" i="8"/>
  <c r="AQ16" i="8"/>
  <c r="AQ17" i="8"/>
  <c r="AQ11" i="8"/>
  <c r="AQ13" i="8"/>
  <c r="AQ14" i="8"/>
  <c r="AQ15" i="8"/>
  <c r="AQ18" i="8"/>
  <c r="AQ19" i="8"/>
  <c r="AQ20" i="8"/>
  <c r="AQ21" i="8"/>
  <c r="AQ22" i="8"/>
  <c r="AQ23" i="8"/>
  <c r="AQ24" i="8"/>
  <c r="AX17" i="8"/>
  <c r="BA17" i="8"/>
  <c r="AX13" i="8"/>
  <c r="BA13" i="8"/>
  <c r="BA24" i="8"/>
  <c r="AX24" i="8"/>
  <c r="BA23" i="8"/>
  <c r="AX23" i="8"/>
  <c r="BA22" i="8"/>
  <c r="AX22" i="8"/>
  <c r="BA21" i="8"/>
  <c r="AX21" i="8"/>
  <c r="BA19" i="8"/>
  <c r="AX19" i="8"/>
  <c r="BA18" i="8"/>
  <c r="AX18" i="8"/>
  <c r="BA15" i="8"/>
  <c r="AX15" i="8"/>
  <c r="BA14" i="8"/>
  <c r="AX14" i="8"/>
  <c r="BA11" i="8"/>
  <c r="AX11" i="8"/>
  <c r="BA16" i="8"/>
  <c r="AX16" i="8"/>
  <c r="BA12" i="8"/>
  <c r="AX12" i="8"/>
  <c r="BA10" i="8"/>
  <c r="AX10" i="8"/>
  <c r="BA9" i="8"/>
  <c r="AX9" i="8"/>
  <c r="BA8" i="8"/>
  <c r="AX8" i="8"/>
  <c r="BA7" i="8"/>
  <c r="AX7" i="8"/>
  <c r="BA6" i="8"/>
  <c r="AX6" i="8"/>
  <c r="BA5" i="8"/>
  <c r="AX5" i="8"/>
  <c r="BA4" i="8"/>
  <c r="AX4" i="8"/>
  <c r="BA20" i="8"/>
  <c r="AX20" i="8"/>
  <c r="BA3" i="8"/>
  <c r="AX3" i="8"/>
  <c r="AF18" i="8"/>
  <c r="AF3" i="8"/>
  <c r="AF8" i="8"/>
  <c r="AF19" i="8"/>
  <c r="AF12" i="8"/>
  <c r="AF16" i="8"/>
  <c r="AF14" i="8"/>
  <c r="AF11" i="8"/>
  <c r="AF7" i="8"/>
  <c r="AF10" i="8"/>
  <c r="AF24" i="8"/>
  <c r="AF23" i="8"/>
  <c r="AF6" i="8"/>
  <c r="AF15" i="8"/>
  <c r="AF17" i="8"/>
  <c r="AF22" i="8"/>
  <c r="AF9" i="8"/>
  <c r="AF13" i="8"/>
  <c r="AF20" i="8"/>
  <c r="AF4" i="8"/>
  <c r="AF5" i="8"/>
  <c r="AF21" i="8"/>
  <c r="AC18" i="8"/>
  <c r="AC3" i="8"/>
  <c r="AC8" i="8"/>
  <c r="AC19" i="8"/>
  <c r="AC12" i="8"/>
  <c r="AC16" i="8"/>
  <c r="AC14" i="8"/>
  <c r="AC11" i="8"/>
  <c r="AC7" i="8"/>
  <c r="AC10" i="8"/>
  <c r="AC24" i="8"/>
  <c r="AC23" i="8"/>
  <c r="AC6" i="8"/>
  <c r="AC15" i="8"/>
  <c r="AC17" i="8"/>
  <c r="AC22" i="8"/>
  <c r="AC9" i="8"/>
  <c r="AC13" i="8"/>
  <c r="AC20" i="8"/>
  <c r="AC4" i="8"/>
  <c r="AC5" i="8"/>
  <c r="AC21" i="8"/>
  <c r="AB18" i="8"/>
  <c r="AB3" i="8"/>
  <c r="AB8" i="8"/>
  <c r="AB19" i="8"/>
  <c r="AB12" i="8"/>
  <c r="AB16" i="8"/>
  <c r="AB14" i="8"/>
  <c r="AB11" i="8"/>
  <c r="AB7" i="8"/>
  <c r="AB10" i="8"/>
  <c r="AB24" i="8"/>
  <c r="AB23" i="8"/>
  <c r="AB6" i="8"/>
  <c r="AB15" i="8"/>
  <c r="AB17" i="8"/>
  <c r="AB22" i="8"/>
  <c r="AB9" i="8"/>
  <c r="AB13" i="8"/>
  <c r="AB20" i="8"/>
  <c r="AB4" i="8"/>
  <c r="AB5" i="8"/>
  <c r="AB21" i="8"/>
  <c r="S18" i="8"/>
  <c r="S3" i="8"/>
  <c r="S8" i="8"/>
  <c r="S19" i="8"/>
  <c r="S12" i="8"/>
  <c r="S16" i="8"/>
  <c r="S14" i="8"/>
  <c r="S11" i="8"/>
  <c r="S7" i="8"/>
  <c r="S10" i="8"/>
  <c r="S24" i="8"/>
  <c r="S23" i="8"/>
  <c r="S6" i="8"/>
  <c r="S15" i="8"/>
  <c r="S17" i="8"/>
  <c r="S22" i="8"/>
  <c r="S9" i="8"/>
  <c r="S13" i="8"/>
  <c r="S20" i="8"/>
  <c r="S4" i="8"/>
  <c r="S5" i="8"/>
  <c r="S21" i="8"/>
  <c r="O18" i="8"/>
  <c r="O3" i="8"/>
  <c r="O8" i="8"/>
  <c r="O19" i="8"/>
  <c r="O12" i="8"/>
  <c r="O16" i="8"/>
  <c r="O14" i="8"/>
  <c r="O11" i="8"/>
  <c r="O7" i="8"/>
  <c r="O10" i="8"/>
  <c r="O24" i="8"/>
  <c r="O23" i="8"/>
  <c r="O6" i="8"/>
  <c r="O15" i="8"/>
  <c r="O17" i="8"/>
  <c r="O22" i="8"/>
  <c r="O9" i="8"/>
  <c r="O13" i="8"/>
  <c r="O20" i="8"/>
  <c r="O4" i="8"/>
  <c r="O5" i="8"/>
  <c r="O21" i="8"/>
  <c r="D33" i="8"/>
  <c r="L33" i="8" s="1"/>
  <c r="H33" i="8" s="1"/>
  <c r="D31" i="8"/>
  <c r="L31" i="8" s="1"/>
  <c r="H31" i="8" s="1"/>
  <c r="J18" i="8"/>
  <c r="J3" i="8"/>
  <c r="J8" i="8"/>
  <c r="J19" i="8"/>
  <c r="J12" i="8"/>
  <c r="J16" i="8"/>
  <c r="J14" i="8"/>
  <c r="J11" i="8"/>
  <c r="J7" i="8"/>
  <c r="J10" i="8"/>
  <c r="J24" i="8"/>
  <c r="J23" i="8"/>
  <c r="J6" i="8"/>
  <c r="J15" i="8"/>
  <c r="J17" i="8"/>
  <c r="J22" i="8"/>
  <c r="J9" i="8"/>
  <c r="J13" i="8"/>
  <c r="J20" i="8"/>
  <c r="J4" i="8"/>
  <c r="J5" i="8"/>
  <c r="J21" i="8"/>
  <c r="D30" i="8"/>
  <c r="L30" i="8" s="1"/>
  <c r="H30" i="8" s="1"/>
  <c r="F18" i="8"/>
  <c r="F3" i="8"/>
  <c r="F8" i="8"/>
  <c r="F19" i="8"/>
  <c r="F12" i="8"/>
  <c r="F16" i="8"/>
  <c r="F14" i="8"/>
  <c r="F11" i="8"/>
  <c r="F7" i="8"/>
  <c r="F10" i="8"/>
  <c r="F24" i="8"/>
  <c r="F23" i="8"/>
  <c r="F6" i="8"/>
  <c r="F15" i="8"/>
  <c r="F17" i="8"/>
  <c r="F22" i="8"/>
  <c r="F9" i="8"/>
  <c r="F13" i="8"/>
  <c r="F20" i="8"/>
  <c r="F4" i="8"/>
  <c r="F5" i="8"/>
  <c r="F21" i="8"/>
  <c r="H112" i="8" l="1"/>
  <c r="H91" i="8"/>
  <c r="H74" i="8"/>
  <c r="H73" i="8"/>
  <c r="D98" i="8"/>
  <c r="L98" i="8" s="1"/>
  <c r="H98" i="8" s="1"/>
  <c r="D89" i="8"/>
  <c r="L89" i="8" s="1"/>
  <c r="H89" i="8" s="1"/>
  <c r="D63" i="8"/>
  <c r="L63" i="8" s="1"/>
  <c r="H63" i="8" s="1"/>
  <c r="D71" i="8"/>
  <c r="L71" i="8" s="1"/>
  <c r="H71" i="8" s="1"/>
  <c r="D69" i="8"/>
  <c r="L69" i="8" s="1"/>
  <c r="H69" i="8" s="1"/>
  <c r="D59" i="8"/>
  <c r="L59" i="8" s="1"/>
  <c r="H59" i="8" s="1"/>
  <c r="D65" i="8"/>
  <c r="L65" i="8" s="1"/>
  <c r="H65" i="8" s="1"/>
  <c r="D68" i="8"/>
  <c r="L68" i="8" s="1"/>
  <c r="H68" i="8" s="1"/>
  <c r="D99" i="8"/>
  <c r="L99" i="8" s="1"/>
  <c r="H99" i="8" s="1"/>
  <c r="D67" i="8"/>
  <c r="L67" i="8" s="1"/>
  <c r="H67" i="8" s="1"/>
  <c r="D66" i="8"/>
  <c r="L66" i="8" s="1"/>
  <c r="H66" i="8" s="1"/>
  <c r="D60" i="8"/>
  <c r="L60" i="8" s="1"/>
  <c r="H60" i="8" s="1"/>
  <c r="D72" i="8"/>
  <c r="L72" i="8" s="1"/>
  <c r="H72" i="8" s="1"/>
  <c r="D90" i="8"/>
  <c r="L90" i="8" s="1"/>
  <c r="H90" i="8" s="1"/>
  <c r="D37" i="8"/>
  <c r="L37" i="8" s="1"/>
  <c r="H37" i="8" s="1"/>
  <c r="D38" i="8"/>
  <c r="L38" i="8" s="1"/>
  <c r="H38" i="8" s="1"/>
  <c r="D52" i="8"/>
  <c r="L52" i="8" s="1"/>
  <c r="H52" i="8" s="1"/>
  <c r="D36" i="8"/>
  <c r="L36" i="8" s="1"/>
  <c r="H36" i="8" s="1"/>
  <c r="D51" i="8"/>
  <c r="L51" i="8" s="1"/>
  <c r="H51" i="8" s="1"/>
  <c r="D34" i="8"/>
  <c r="L34" i="8" s="1"/>
  <c r="H34" i="8" s="1"/>
  <c r="D35" i="8"/>
  <c r="L35" i="8" s="1"/>
  <c r="H35" i="8" s="1"/>
  <c r="D32" i="8"/>
  <c r="L32" i="8" s="1"/>
  <c r="H32" i="8" s="1"/>
  <c r="D29" i="8"/>
  <c r="E18" i="8" l="1"/>
  <c r="E3" i="8"/>
  <c r="E8" i="8"/>
  <c r="E19" i="8"/>
  <c r="E12" i="8"/>
  <c r="E16" i="8"/>
  <c r="E14" i="8"/>
  <c r="E11" i="8"/>
  <c r="E7" i="8"/>
  <c r="E10" i="8"/>
  <c r="E24" i="8"/>
  <c r="E23" i="8"/>
  <c r="E6" i="8"/>
  <c r="E15" i="8"/>
  <c r="E17" i="8"/>
  <c r="E22" i="8"/>
  <c r="E9" i="8"/>
  <c r="E13" i="8"/>
  <c r="E20" i="8"/>
  <c r="E4" i="8"/>
  <c r="E5" i="8"/>
  <c r="E21" i="8"/>
  <c r="AP1" i="8"/>
  <c r="D87" i="8" l="1"/>
  <c r="L87" i="8" s="1"/>
  <c r="H87" i="8" s="1"/>
  <c r="D82" i="8"/>
  <c r="L82" i="8" s="1"/>
  <c r="H82" i="8" s="1"/>
  <c r="D86" i="8"/>
  <c r="L86" i="8" s="1"/>
  <c r="H86" i="8" s="1"/>
  <c r="D85" i="8"/>
  <c r="L85" i="8" s="1"/>
  <c r="H85" i="8" s="1"/>
  <c r="D84" i="8"/>
  <c r="L84" i="8" s="1"/>
  <c r="H84" i="8" s="1"/>
  <c r="D83" i="8"/>
  <c r="L83" i="8" s="1"/>
  <c r="H83" i="8" s="1"/>
  <c r="D80" i="8"/>
  <c r="L80" i="8" s="1"/>
  <c r="H80" i="8" s="1"/>
  <c r="D81" i="8"/>
  <c r="L81" i="8" s="1"/>
  <c r="H81" i="8" s="1"/>
  <c r="D56" i="8"/>
  <c r="L56" i="8" s="1"/>
  <c r="H56" i="8" s="1"/>
  <c r="D57" i="8"/>
  <c r="L57" i="8" s="1"/>
  <c r="H57" i="8" s="1"/>
  <c r="D47" i="8"/>
  <c r="L47" i="8" s="1"/>
  <c r="H47" i="8" s="1"/>
  <c r="D46" i="8"/>
  <c r="L46" i="8" s="1"/>
  <c r="H46" i="8" s="1"/>
  <c r="D45" i="8"/>
  <c r="L45" i="8" s="1"/>
  <c r="H45" i="8" s="1"/>
  <c r="D44" i="8"/>
  <c r="L44" i="8" s="1"/>
  <c r="H44" i="8" s="1"/>
  <c r="D43" i="8"/>
  <c r="L43" i="8" s="1"/>
  <c r="H43" i="8" s="1"/>
  <c r="D42" i="8"/>
  <c r="D49" i="8"/>
  <c r="L49" i="8" s="1"/>
  <c r="H49" i="8" s="1"/>
  <c r="D41" i="8"/>
  <c r="L41" i="8" s="1"/>
  <c r="H41" i="8" s="1"/>
  <c r="D48" i="8"/>
  <c r="L48" i="8" s="1"/>
  <c r="H48" i="8" s="1"/>
  <c r="D40" i="8"/>
  <c r="L40" i="8" s="1"/>
  <c r="H40" i="8" s="1"/>
  <c r="L29" i="8"/>
  <c r="H29" i="8" s="1"/>
  <c r="D28" i="8"/>
  <c r="L28" i="8" s="1"/>
  <c r="H28" i="8" s="1"/>
  <c r="T197" i="6"/>
  <c r="U197" i="6"/>
  <c r="V197" i="6"/>
  <c r="S197" i="6"/>
  <c r="S193" i="6"/>
  <c r="S196" i="6" s="1"/>
  <c r="T193" i="6"/>
  <c r="U193" i="6"/>
  <c r="V193" i="6"/>
  <c r="V196" i="6" s="1"/>
  <c r="S194" i="6"/>
  <c r="T194" i="6"/>
  <c r="U194" i="6"/>
  <c r="V194" i="6"/>
  <c r="S195" i="6"/>
  <c r="T195" i="6"/>
  <c r="U195" i="6"/>
  <c r="V195" i="6"/>
  <c r="T192" i="6"/>
  <c r="U192" i="6"/>
  <c r="U196" i="6" s="1"/>
  <c r="V192" i="6"/>
  <c r="S19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Z200" i="6"/>
  <c r="U216" i="6"/>
  <c r="V216" i="6"/>
  <c r="W216" i="6"/>
  <c r="X216" i="6"/>
  <c r="U217" i="6"/>
  <c r="V217" i="6"/>
  <c r="W217" i="6"/>
  <c r="X217" i="6"/>
  <c r="U218" i="6"/>
  <c r="V218" i="6"/>
  <c r="W218" i="6"/>
  <c r="X218" i="6"/>
  <c r="U219" i="6"/>
  <c r="V219" i="6"/>
  <c r="W219" i="6"/>
  <c r="X219" i="6"/>
  <c r="U220" i="6"/>
  <c r="V220" i="6"/>
  <c r="W220" i="6"/>
  <c r="X220" i="6"/>
  <c r="U221" i="6"/>
  <c r="V221" i="6"/>
  <c r="W221" i="6"/>
  <c r="X221" i="6"/>
  <c r="U222" i="6"/>
  <c r="V222" i="6"/>
  <c r="W222" i="6"/>
  <c r="X222" i="6"/>
  <c r="U223" i="6"/>
  <c r="V223" i="6"/>
  <c r="W223" i="6"/>
  <c r="X223" i="6"/>
  <c r="U224" i="6"/>
  <c r="V224" i="6"/>
  <c r="W224" i="6"/>
  <c r="X224" i="6"/>
  <c r="U225" i="6"/>
  <c r="V225" i="6"/>
  <c r="W225" i="6"/>
  <c r="X225" i="6"/>
  <c r="U226" i="6"/>
  <c r="V226" i="6"/>
  <c r="W226" i="6"/>
  <c r="X226" i="6"/>
  <c r="U227" i="6"/>
  <c r="V227" i="6"/>
  <c r="W227" i="6"/>
  <c r="X227" i="6"/>
  <c r="U228" i="6"/>
  <c r="V228" i="6"/>
  <c r="W228" i="6"/>
  <c r="X228" i="6"/>
  <c r="U229" i="6"/>
  <c r="V229" i="6"/>
  <c r="W229" i="6"/>
  <c r="X229" i="6"/>
  <c r="U230" i="6"/>
  <c r="V230" i="6"/>
  <c r="W230" i="6"/>
  <c r="X230" i="6"/>
  <c r="U231" i="6"/>
  <c r="V231" i="6"/>
  <c r="W231" i="6"/>
  <c r="X231" i="6"/>
  <c r="U232" i="6"/>
  <c r="V232" i="6"/>
  <c r="W232" i="6"/>
  <c r="X232" i="6"/>
  <c r="U233" i="6"/>
  <c r="V233" i="6"/>
  <c r="W233" i="6"/>
  <c r="X233" i="6"/>
  <c r="U234" i="6"/>
  <c r="V234" i="6"/>
  <c r="W234" i="6"/>
  <c r="X234" i="6"/>
  <c r="U235" i="6"/>
  <c r="V235" i="6"/>
  <c r="W235" i="6"/>
  <c r="X235" i="6"/>
  <c r="U236" i="6"/>
  <c r="V236" i="6"/>
  <c r="W236" i="6"/>
  <c r="X236" i="6"/>
  <c r="U237" i="6"/>
  <c r="V237" i="6"/>
  <c r="W237" i="6"/>
  <c r="X237" i="6"/>
  <c r="U238" i="6"/>
  <c r="V238" i="6"/>
  <c r="W238" i="6"/>
  <c r="X238" i="6"/>
  <c r="U239" i="6"/>
  <c r="V239" i="6"/>
  <c r="W239" i="6"/>
  <c r="X239" i="6"/>
  <c r="U240" i="6"/>
  <c r="V240" i="6"/>
  <c r="W240" i="6"/>
  <c r="X240" i="6"/>
  <c r="U241" i="6"/>
  <c r="V241" i="6"/>
  <c r="W241" i="6"/>
  <c r="X241" i="6"/>
  <c r="U242" i="6"/>
  <c r="V242" i="6"/>
  <c r="W242" i="6"/>
  <c r="X242" i="6"/>
  <c r="U243" i="6"/>
  <c r="V243" i="6"/>
  <c r="W243" i="6"/>
  <c r="X243" i="6"/>
  <c r="U244" i="6"/>
  <c r="V244" i="6"/>
  <c r="W244" i="6"/>
  <c r="X244" i="6"/>
  <c r="U245" i="6"/>
  <c r="V245" i="6"/>
  <c r="W245" i="6"/>
  <c r="X245" i="6"/>
  <c r="U246" i="6"/>
  <c r="V246" i="6"/>
  <c r="W246" i="6"/>
  <c r="X246" i="6"/>
  <c r="U247" i="6"/>
  <c r="V247" i="6"/>
  <c r="W247" i="6"/>
  <c r="X247" i="6"/>
  <c r="U248" i="6"/>
  <c r="V248" i="6"/>
  <c r="W248" i="6"/>
  <c r="X248" i="6"/>
  <c r="U249" i="6"/>
  <c r="V249" i="6"/>
  <c r="W249" i="6"/>
  <c r="X249" i="6"/>
  <c r="U250" i="6"/>
  <c r="V250" i="6"/>
  <c r="W250" i="6"/>
  <c r="X250" i="6"/>
  <c r="U251" i="6"/>
  <c r="V251" i="6"/>
  <c r="W251" i="6"/>
  <c r="X251" i="6"/>
  <c r="U252" i="6"/>
  <c r="V252" i="6"/>
  <c r="W252" i="6"/>
  <c r="X252" i="6"/>
  <c r="U253" i="6"/>
  <c r="V253" i="6"/>
  <c r="W253" i="6"/>
  <c r="X253" i="6"/>
  <c r="U254" i="6"/>
  <c r="V254" i="6"/>
  <c r="W254" i="6"/>
  <c r="X254" i="6"/>
  <c r="U255" i="6"/>
  <c r="V255" i="6"/>
  <c r="W255" i="6"/>
  <c r="X255" i="6"/>
  <c r="U256" i="6"/>
  <c r="V256" i="6"/>
  <c r="W256" i="6"/>
  <c r="X256" i="6"/>
  <c r="U257" i="6"/>
  <c r="V257" i="6"/>
  <c r="W257" i="6"/>
  <c r="X257" i="6"/>
  <c r="U258" i="6"/>
  <c r="V258" i="6"/>
  <c r="W258" i="6"/>
  <c r="X258" i="6"/>
  <c r="U259" i="6"/>
  <c r="V259" i="6"/>
  <c r="W259" i="6"/>
  <c r="X259" i="6"/>
  <c r="U260" i="6"/>
  <c r="V260" i="6"/>
  <c r="W260" i="6"/>
  <c r="X260" i="6"/>
  <c r="U261" i="6"/>
  <c r="V261" i="6"/>
  <c r="W261" i="6"/>
  <c r="X261" i="6"/>
  <c r="U262" i="6"/>
  <c r="V262" i="6"/>
  <c r="W262" i="6"/>
  <c r="X262" i="6"/>
  <c r="U263" i="6"/>
  <c r="V263" i="6"/>
  <c r="W263" i="6"/>
  <c r="X263" i="6"/>
  <c r="U264" i="6"/>
  <c r="V264" i="6"/>
  <c r="W264" i="6"/>
  <c r="X264" i="6"/>
  <c r="U265" i="6"/>
  <c r="V265" i="6"/>
  <c r="W265" i="6"/>
  <c r="X265" i="6"/>
  <c r="U266" i="6"/>
  <c r="V266" i="6"/>
  <c r="W266" i="6"/>
  <c r="X266" i="6"/>
  <c r="U267" i="6"/>
  <c r="V267" i="6"/>
  <c r="W267" i="6"/>
  <c r="X267" i="6"/>
  <c r="U268" i="6"/>
  <c r="V268" i="6"/>
  <c r="W268" i="6"/>
  <c r="X268" i="6"/>
  <c r="U269" i="6"/>
  <c r="V269" i="6"/>
  <c r="W269" i="6"/>
  <c r="X269" i="6"/>
  <c r="U270" i="6"/>
  <c r="V270" i="6"/>
  <c r="W270" i="6"/>
  <c r="X270" i="6"/>
  <c r="U271" i="6"/>
  <c r="V271" i="6"/>
  <c r="W271" i="6"/>
  <c r="X271" i="6"/>
  <c r="U272" i="6"/>
  <c r="V272" i="6"/>
  <c r="W272" i="6"/>
  <c r="X272" i="6"/>
  <c r="U273" i="6"/>
  <c r="V273" i="6"/>
  <c r="W273" i="6"/>
  <c r="X273" i="6"/>
  <c r="U274" i="6"/>
  <c r="V274" i="6"/>
  <c r="W274" i="6"/>
  <c r="X274" i="6"/>
  <c r="U275" i="6"/>
  <c r="V275" i="6"/>
  <c r="W275" i="6"/>
  <c r="X275" i="6"/>
  <c r="U276" i="6"/>
  <c r="V276" i="6"/>
  <c r="W276" i="6"/>
  <c r="X276" i="6"/>
  <c r="U277" i="6"/>
  <c r="V277" i="6"/>
  <c r="W277" i="6"/>
  <c r="X277" i="6"/>
  <c r="U278" i="6"/>
  <c r="V278" i="6"/>
  <c r="W278" i="6"/>
  <c r="X278" i="6"/>
  <c r="U279" i="6"/>
  <c r="V279" i="6"/>
  <c r="W279" i="6"/>
  <c r="X279" i="6"/>
  <c r="U280" i="6"/>
  <c r="V280" i="6"/>
  <c r="W280" i="6"/>
  <c r="X280" i="6"/>
  <c r="U281" i="6"/>
  <c r="V281" i="6"/>
  <c r="W281" i="6"/>
  <c r="X281" i="6"/>
  <c r="U282" i="6"/>
  <c r="V282" i="6"/>
  <c r="W282" i="6"/>
  <c r="X282" i="6"/>
  <c r="U283" i="6"/>
  <c r="V283" i="6"/>
  <c r="W283" i="6"/>
  <c r="X283" i="6"/>
  <c r="U284" i="6"/>
  <c r="V284" i="6"/>
  <c r="W284" i="6"/>
  <c r="X284" i="6"/>
  <c r="U285" i="6"/>
  <c r="V285" i="6"/>
  <c r="W285" i="6"/>
  <c r="X285" i="6"/>
  <c r="U215" i="6"/>
  <c r="V215" i="6"/>
  <c r="W215" i="6"/>
  <c r="X215" i="6"/>
  <c r="U290" i="6"/>
  <c r="V290" i="6"/>
  <c r="W290" i="6"/>
  <c r="X290" i="6"/>
  <c r="U291" i="6"/>
  <c r="V291" i="6"/>
  <c r="W291" i="6"/>
  <c r="X291" i="6"/>
  <c r="U292" i="6"/>
  <c r="V292" i="6"/>
  <c r="W292" i="6"/>
  <c r="X292" i="6"/>
  <c r="U293" i="6"/>
  <c r="V293" i="6"/>
  <c r="W293" i="6"/>
  <c r="X293" i="6"/>
  <c r="U294" i="6"/>
  <c r="V294" i="6"/>
  <c r="W294" i="6"/>
  <c r="X294" i="6"/>
  <c r="U295" i="6"/>
  <c r="V295" i="6"/>
  <c r="W295" i="6"/>
  <c r="X295" i="6"/>
  <c r="U296" i="6"/>
  <c r="V296" i="6"/>
  <c r="W296" i="6"/>
  <c r="X296" i="6"/>
  <c r="U297" i="6"/>
  <c r="V297" i="6"/>
  <c r="W297" i="6"/>
  <c r="X297" i="6"/>
  <c r="U298" i="6"/>
  <c r="V298" i="6"/>
  <c r="W298" i="6"/>
  <c r="X298" i="6"/>
  <c r="U299" i="6"/>
  <c r="V299" i="6"/>
  <c r="W299" i="6"/>
  <c r="X299" i="6"/>
  <c r="U300" i="6"/>
  <c r="V300" i="6"/>
  <c r="W300" i="6"/>
  <c r="X300" i="6"/>
  <c r="U301" i="6"/>
  <c r="V301" i="6"/>
  <c r="W301" i="6"/>
  <c r="X301" i="6"/>
  <c r="U302" i="6"/>
  <c r="V302" i="6"/>
  <c r="W302" i="6"/>
  <c r="X302" i="6"/>
  <c r="U303" i="6"/>
  <c r="V303" i="6"/>
  <c r="W303" i="6"/>
  <c r="X303" i="6"/>
  <c r="U304" i="6"/>
  <c r="V304" i="6"/>
  <c r="W304" i="6"/>
  <c r="X304" i="6"/>
  <c r="U305" i="6"/>
  <c r="V305" i="6"/>
  <c r="W305" i="6"/>
  <c r="X305" i="6"/>
  <c r="U306" i="6"/>
  <c r="V306" i="6"/>
  <c r="W306" i="6"/>
  <c r="X306" i="6"/>
  <c r="U307" i="6"/>
  <c r="V307" i="6"/>
  <c r="W307" i="6"/>
  <c r="X307" i="6"/>
  <c r="U308" i="6"/>
  <c r="V308" i="6"/>
  <c r="W308" i="6"/>
  <c r="X308" i="6"/>
  <c r="U309" i="6"/>
  <c r="V309" i="6"/>
  <c r="W309" i="6"/>
  <c r="X309" i="6"/>
  <c r="U310" i="6"/>
  <c r="V310" i="6"/>
  <c r="W310" i="6"/>
  <c r="X310" i="6"/>
  <c r="U311" i="6"/>
  <c r="V311" i="6"/>
  <c r="W311" i="6"/>
  <c r="X311" i="6"/>
  <c r="U312" i="6"/>
  <c r="V312" i="6"/>
  <c r="W312" i="6"/>
  <c r="X312" i="6"/>
  <c r="U313" i="6"/>
  <c r="V313" i="6"/>
  <c r="W313" i="6"/>
  <c r="X313" i="6"/>
  <c r="U314" i="6"/>
  <c r="V314" i="6"/>
  <c r="W314" i="6"/>
  <c r="X314" i="6"/>
  <c r="U315" i="6"/>
  <c r="V315" i="6"/>
  <c r="W315" i="6"/>
  <c r="X315" i="6"/>
  <c r="U316" i="6"/>
  <c r="V316" i="6"/>
  <c r="W316" i="6"/>
  <c r="X316" i="6"/>
  <c r="U317" i="6"/>
  <c r="V317" i="6"/>
  <c r="W317" i="6"/>
  <c r="X317" i="6"/>
  <c r="U318" i="6"/>
  <c r="V318" i="6"/>
  <c r="W318" i="6"/>
  <c r="X318" i="6"/>
  <c r="U319" i="6"/>
  <c r="V319" i="6"/>
  <c r="W319" i="6"/>
  <c r="X319" i="6"/>
  <c r="U320" i="6"/>
  <c r="V320" i="6"/>
  <c r="W320" i="6"/>
  <c r="X320" i="6"/>
  <c r="U321" i="6"/>
  <c r="V321" i="6"/>
  <c r="W321" i="6"/>
  <c r="X321" i="6"/>
  <c r="U322" i="6"/>
  <c r="V322" i="6"/>
  <c r="W322" i="6"/>
  <c r="X322" i="6"/>
  <c r="U323" i="6"/>
  <c r="V323" i="6"/>
  <c r="W323" i="6"/>
  <c r="X323" i="6"/>
  <c r="U324" i="6"/>
  <c r="V324" i="6"/>
  <c r="W324" i="6"/>
  <c r="X324" i="6"/>
  <c r="U325" i="6"/>
  <c r="V325" i="6"/>
  <c r="W325" i="6"/>
  <c r="X325" i="6"/>
  <c r="U326" i="6"/>
  <c r="V326" i="6"/>
  <c r="W326" i="6"/>
  <c r="X326" i="6"/>
  <c r="U327" i="6"/>
  <c r="V327" i="6"/>
  <c r="W327" i="6"/>
  <c r="X327" i="6"/>
  <c r="U328" i="6"/>
  <c r="V328" i="6"/>
  <c r="W328" i="6"/>
  <c r="X328" i="6"/>
  <c r="U329" i="6"/>
  <c r="V329" i="6"/>
  <c r="W329" i="6"/>
  <c r="X329" i="6"/>
  <c r="U330" i="6"/>
  <c r="V330" i="6"/>
  <c r="W330" i="6"/>
  <c r="X330" i="6"/>
  <c r="U331" i="6"/>
  <c r="V331" i="6"/>
  <c r="W331" i="6"/>
  <c r="X331" i="6"/>
  <c r="U332" i="6"/>
  <c r="V332" i="6"/>
  <c r="W332" i="6"/>
  <c r="X332" i="6"/>
  <c r="U333" i="6"/>
  <c r="V333" i="6"/>
  <c r="W333" i="6"/>
  <c r="X333" i="6"/>
  <c r="U334" i="6"/>
  <c r="V334" i="6"/>
  <c r="W334" i="6"/>
  <c r="X334" i="6"/>
  <c r="U335" i="6"/>
  <c r="V335" i="6"/>
  <c r="W335" i="6"/>
  <c r="X335" i="6"/>
  <c r="U336" i="6"/>
  <c r="V336" i="6"/>
  <c r="W336" i="6"/>
  <c r="X336" i="6"/>
  <c r="U337" i="6"/>
  <c r="V337" i="6"/>
  <c r="W337" i="6"/>
  <c r="X337" i="6"/>
  <c r="U338" i="6"/>
  <c r="V338" i="6"/>
  <c r="W338" i="6"/>
  <c r="X338" i="6"/>
  <c r="U339" i="6"/>
  <c r="V339" i="6"/>
  <c r="W339" i="6"/>
  <c r="X339" i="6"/>
  <c r="U340" i="6"/>
  <c r="V340" i="6"/>
  <c r="W340" i="6"/>
  <c r="X340" i="6"/>
  <c r="U341" i="6"/>
  <c r="V341" i="6"/>
  <c r="W341" i="6"/>
  <c r="X341" i="6"/>
  <c r="U342" i="6"/>
  <c r="V342" i="6"/>
  <c r="W342" i="6"/>
  <c r="X342" i="6"/>
  <c r="U343" i="6"/>
  <c r="V343" i="6"/>
  <c r="W343" i="6"/>
  <c r="X343" i="6"/>
  <c r="U344" i="6"/>
  <c r="V344" i="6"/>
  <c r="W344" i="6"/>
  <c r="X344" i="6"/>
  <c r="U345" i="6"/>
  <c r="V345" i="6"/>
  <c r="W345" i="6"/>
  <c r="X345" i="6"/>
  <c r="U346" i="6"/>
  <c r="V346" i="6"/>
  <c r="W346" i="6"/>
  <c r="X346" i="6"/>
  <c r="U347" i="6"/>
  <c r="V347" i="6"/>
  <c r="W347" i="6"/>
  <c r="X347" i="6"/>
  <c r="U348" i="6"/>
  <c r="V348" i="6"/>
  <c r="W348" i="6"/>
  <c r="X348" i="6"/>
  <c r="U349" i="6"/>
  <c r="V349" i="6"/>
  <c r="W349" i="6"/>
  <c r="X349" i="6"/>
  <c r="U350" i="6"/>
  <c r="V350" i="6"/>
  <c r="W350" i="6"/>
  <c r="X350" i="6"/>
  <c r="U351" i="6"/>
  <c r="V351" i="6"/>
  <c r="W351" i="6"/>
  <c r="X351" i="6"/>
  <c r="U352" i="6"/>
  <c r="V352" i="6"/>
  <c r="W352" i="6"/>
  <c r="X352" i="6"/>
  <c r="U353" i="6"/>
  <c r="V353" i="6"/>
  <c r="W353" i="6"/>
  <c r="X353" i="6"/>
  <c r="U354" i="6"/>
  <c r="V354" i="6"/>
  <c r="W354" i="6"/>
  <c r="X354" i="6"/>
  <c r="U355" i="6"/>
  <c r="V355" i="6"/>
  <c r="W355" i="6"/>
  <c r="X355" i="6"/>
  <c r="U356" i="6"/>
  <c r="V356" i="6"/>
  <c r="W356" i="6"/>
  <c r="X356" i="6"/>
  <c r="U357" i="6"/>
  <c r="V357" i="6"/>
  <c r="W357" i="6"/>
  <c r="X357" i="6"/>
  <c r="U358" i="6"/>
  <c r="V358" i="6"/>
  <c r="W358" i="6"/>
  <c r="X358" i="6"/>
  <c r="U359" i="6"/>
  <c r="V359" i="6"/>
  <c r="W359" i="6"/>
  <c r="X359" i="6"/>
  <c r="U360" i="6"/>
  <c r="V360" i="6"/>
  <c r="W360" i="6"/>
  <c r="X360" i="6"/>
  <c r="U361" i="6"/>
  <c r="V361" i="6"/>
  <c r="W361" i="6"/>
  <c r="X361" i="6"/>
  <c r="U362" i="6"/>
  <c r="V362" i="6"/>
  <c r="W362" i="6"/>
  <c r="X362" i="6"/>
  <c r="U363" i="6"/>
  <c r="V363" i="6"/>
  <c r="W363" i="6"/>
  <c r="X363" i="6"/>
  <c r="U289" i="6"/>
  <c r="V289" i="6"/>
  <c r="W289" i="6"/>
  <c r="X289" i="6"/>
  <c r="U368" i="6"/>
  <c r="V368" i="6"/>
  <c r="W368" i="6"/>
  <c r="X368" i="6"/>
  <c r="U369" i="6"/>
  <c r="V369" i="6"/>
  <c r="W369" i="6"/>
  <c r="X369" i="6"/>
  <c r="U370" i="6"/>
  <c r="V370" i="6"/>
  <c r="W370" i="6"/>
  <c r="X370" i="6"/>
  <c r="U371" i="6"/>
  <c r="V371" i="6"/>
  <c r="W371" i="6"/>
  <c r="X371" i="6"/>
  <c r="U372" i="6"/>
  <c r="V372" i="6"/>
  <c r="W372" i="6"/>
  <c r="X372" i="6"/>
  <c r="U373" i="6"/>
  <c r="V373" i="6"/>
  <c r="W373" i="6"/>
  <c r="X373" i="6"/>
  <c r="U374" i="6"/>
  <c r="V374" i="6"/>
  <c r="W374" i="6"/>
  <c r="X374" i="6"/>
  <c r="U375" i="6"/>
  <c r="V375" i="6"/>
  <c r="W375" i="6"/>
  <c r="X375" i="6"/>
  <c r="U376" i="6"/>
  <c r="V376" i="6"/>
  <c r="W376" i="6"/>
  <c r="X376" i="6"/>
  <c r="U377" i="6"/>
  <c r="V377" i="6"/>
  <c r="W377" i="6"/>
  <c r="X377" i="6"/>
  <c r="U378" i="6"/>
  <c r="V378" i="6"/>
  <c r="W378" i="6"/>
  <c r="X378" i="6"/>
  <c r="U379" i="6"/>
  <c r="V379" i="6"/>
  <c r="W379" i="6"/>
  <c r="X379" i="6"/>
  <c r="U380" i="6"/>
  <c r="V380" i="6"/>
  <c r="W380" i="6"/>
  <c r="X380" i="6"/>
  <c r="U381" i="6"/>
  <c r="V381" i="6"/>
  <c r="W381" i="6"/>
  <c r="X381" i="6"/>
  <c r="U382" i="6"/>
  <c r="V382" i="6"/>
  <c r="W382" i="6"/>
  <c r="X382" i="6"/>
  <c r="U383" i="6"/>
  <c r="V383" i="6"/>
  <c r="W383" i="6"/>
  <c r="X383" i="6"/>
  <c r="U384" i="6"/>
  <c r="V384" i="6"/>
  <c r="W384" i="6"/>
  <c r="X384" i="6"/>
  <c r="U385" i="6"/>
  <c r="V385" i="6"/>
  <c r="W385" i="6"/>
  <c r="X385" i="6"/>
  <c r="U386" i="6"/>
  <c r="V386" i="6"/>
  <c r="W386" i="6"/>
  <c r="X386" i="6"/>
  <c r="U387" i="6"/>
  <c r="V387" i="6"/>
  <c r="W387" i="6"/>
  <c r="X387" i="6"/>
  <c r="U388" i="6"/>
  <c r="V388" i="6"/>
  <c r="W388" i="6"/>
  <c r="X388" i="6"/>
  <c r="U389" i="6"/>
  <c r="V389" i="6"/>
  <c r="W389" i="6"/>
  <c r="X389" i="6"/>
  <c r="U390" i="6"/>
  <c r="V390" i="6"/>
  <c r="W390" i="6"/>
  <c r="X390" i="6"/>
  <c r="U391" i="6"/>
  <c r="V391" i="6"/>
  <c r="W391" i="6"/>
  <c r="X391" i="6"/>
  <c r="U392" i="6"/>
  <c r="V392" i="6"/>
  <c r="W392" i="6"/>
  <c r="X392" i="6"/>
  <c r="U393" i="6"/>
  <c r="V393" i="6"/>
  <c r="W393" i="6"/>
  <c r="X393" i="6"/>
  <c r="U394" i="6"/>
  <c r="V394" i="6"/>
  <c r="W394" i="6"/>
  <c r="X394" i="6"/>
  <c r="U395" i="6"/>
  <c r="V395" i="6"/>
  <c r="W395" i="6"/>
  <c r="X395" i="6"/>
  <c r="U396" i="6"/>
  <c r="V396" i="6"/>
  <c r="W396" i="6"/>
  <c r="X396" i="6"/>
  <c r="U397" i="6"/>
  <c r="V397" i="6"/>
  <c r="W397" i="6"/>
  <c r="X397" i="6"/>
  <c r="U398" i="6"/>
  <c r="V398" i="6"/>
  <c r="W398" i="6"/>
  <c r="X398" i="6"/>
  <c r="U399" i="6"/>
  <c r="V399" i="6"/>
  <c r="W399" i="6"/>
  <c r="X399" i="6"/>
  <c r="U400" i="6"/>
  <c r="V400" i="6"/>
  <c r="W400" i="6"/>
  <c r="X400" i="6"/>
  <c r="U401" i="6"/>
  <c r="V401" i="6"/>
  <c r="W401" i="6"/>
  <c r="X401" i="6"/>
  <c r="U402" i="6"/>
  <c r="V402" i="6"/>
  <c r="W402" i="6"/>
  <c r="X402" i="6"/>
  <c r="U403" i="6"/>
  <c r="V403" i="6"/>
  <c r="W403" i="6"/>
  <c r="X403" i="6"/>
  <c r="U404" i="6"/>
  <c r="V404" i="6"/>
  <c r="W404" i="6"/>
  <c r="X404" i="6"/>
  <c r="U405" i="6"/>
  <c r="V405" i="6"/>
  <c r="W405" i="6"/>
  <c r="X405" i="6"/>
  <c r="U406" i="6"/>
  <c r="V406" i="6"/>
  <c r="W406" i="6"/>
  <c r="X406" i="6"/>
  <c r="U407" i="6"/>
  <c r="V407" i="6"/>
  <c r="W407" i="6"/>
  <c r="X407" i="6"/>
  <c r="U408" i="6"/>
  <c r="V408" i="6"/>
  <c r="W408" i="6"/>
  <c r="X408" i="6"/>
  <c r="U409" i="6"/>
  <c r="V409" i="6"/>
  <c r="W409" i="6"/>
  <c r="X409" i="6"/>
  <c r="U410" i="6"/>
  <c r="V410" i="6"/>
  <c r="W410" i="6"/>
  <c r="X410" i="6"/>
  <c r="U411" i="6"/>
  <c r="V411" i="6"/>
  <c r="W411" i="6"/>
  <c r="X411" i="6"/>
  <c r="U412" i="6"/>
  <c r="V412" i="6"/>
  <c r="W412" i="6"/>
  <c r="X412" i="6"/>
  <c r="U413" i="6"/>
  <c r="V413" i="6"/>
  <c r="W413" i="6"/>
  <c r="X413" i="6"/>
  <c r="U414" i="6"/>
  <c r="V414" i="6"/>
  <c r="W414" i="6"/>
  <c r="X414" i="6"/>
  <c r="U415" i="6"/>
  <c r="V415" i="6"/>
  <c r="W415" i="6"/>
  <c r="X415" i="6"/>
  <c r="U416" i="6"/>
  <c r="V416" i="6"/>
  <c r="W416" i="6"/>
  <c r="X416" i="6"/>
  <c r="U417" i="6"/>
  <c r="V417" i="6"/>
  <c r="W417" i="6"/>
  <c r="X417" i="6"/>
  <c r="U418" i="6"/>
  <c r="V418" i="6"/>
  <c r="W418" i="6"/>
  <c r="X418" i="6"/>
  <c r="U419" i="6"/>
  <c r="V419" i="6"/>
  <c r="W419" i="6"/>
  <c r="X419" i="6"/>
  <c r="U420" i="6"/>
  <c r="V420" i="6"/>
  <c r="W420" i="6"/>
  <c r="X420" i="6"/>
  <c r="U421" i="6"/>
  <c r="V421" i="6"/>
  <c r="W421" i="6"/>
  <c r="X421" i="6"/>
  <c r="U422" i="6"/>
  <c r="V422" i="6"/>
  <c r="W422" i="6"/>
  <c r="X422" i="6"/>
  <c r="U423" i="6"/>
  <c r="V423" i="6"/>
  <c r="W423" i="6"/>
  <c r="X423" i="6"/>
  <c r="U424" i="6"/>
  <c r="V424" i="6"/>
  <c r="W424" i="6"/>
  <c r="X424" i="6"/>
  <c r="U425" i="6"/>
  <c r="V425" i="6"/>
  <c r="W425" i="6"/>
  <c r="X425" i="6"/>
  <c r="U426" i="6"/>
  <c r="V426" i="6"/>
  <c r="W426" i="6"/>
  <c r="X426" i="6"/>
  <c r="U427" i="6"/>
  <c r="V427" i="6"/>
  <c r="W427" i="6"/>
  <c r="X427" i="6"/>
  <c r="U428" i="6"/>
  <c r="V428" i="6"/>
  <c r="W428" i="6"/>
  <c r="X428" i="6"/>
  <c r="U429" i="6"/>
  <c r="V429" i="6"/>
  <c r="W429" i="6"/>
  <c r="X429" i="6"/>
  <c r="U430" i="6"/>
  <c r="V430" i="6"/>
  <c r="W430" i="6"/>
  <c r="X430" i="6"/>
  <c r="U431" i="6"/>
  <c r="V431" i="6"/>
  <c r="W431" i="6"/>
  <c r="X431" i="6"/>
  <c r="U432" i="6"/>
  <c r="V432" i="6"/>
  <c r="W432" i="6"/>
  <c r="X432" i="6"/>
  <c r="U433" i="6"/>
  <c r="V433" i="6"/>
  <c r="W433" i="6"/>
  <c r="X433" i="6"/>
  <c r="U434" i="6"/>
  <c r="V434" i="6"/>
  <c r="W434" i="6"/>
  <c r="X434" i="6"/>
  <c r="U435" i="6"/>
  <c r="V435" i="6"/>
  <c r="W435" i="6"/>
  <c r="X435" i="6"/>
  <c r="U436" i="6"/>
  <c r="V436" i="6"/>
  <c r="W436" i="6"/>
  <c r="X436" i="6"/>
  <c r="U367" i="6"/>
  <c r="V367" i="6"/>
  <c r="W367" i="6"/>
  <c r="X367" i="6"/>
  <c r="U441" i="6"/>
  <c r="V441" i="6"/>
  <c r="W441" i="6"/>
  <c r="X441" i="6"/>
  <c r="U442" i="6"/>
  <c r="V442" i="6"/>
  <c r="W442" i="6"/>
  <c r="X442" i="6"/>
  <c r="U443" i="6"/>
  <c r="V443" i="6"/>
  <c r="W443" i="6"/>
  <c r="X443" i="6"/>
  <c r="U444" i="6"/>
  <c r="V444" i="6"/>
  <c r="W444" i="6"/>
  <c r="X444" i="6"/>
  <c r="U445" i="6"/>
  <c r="V445" i="6"/>
  <c r="W445" i="6"/>
  <c r="X445" i="6"/>
  <c r="U446" i="6"/>
  <c r="V446" i="6"/>
  <c r="W446" i="6"/>
  <c r="X446" i="6"/>
  <c r="U447" i="6"/>
  <c r="V447" i="6"/>
  <c r="W447" i="6"/>
  <c r="X447" i="6"/>
  <c r="U448" i="6"/>
  <c r="V448" i="6"/>
  <c r="W448" i="6"/>
  <c r="X448" i="6"/>
  <c r="U449" i="6"/>
  <c r="V449" i="6"/>
  <c r="W449" i="6"/>
  <c r="X449" i="6"/>
  <c r="U450" i="6"/>
  <c r="V450" i="6"/>
  <c r="W450" i="6"/>
  <c r="X450" i="6"/>
  <c r="U451" i="6"/>
  <c r="V451" i="6"/>
  <c r="W451" i="6"/>
  <c r="X451" i="6"/>
  <c r="U452" i="6"/>
  <c r="V452" i="6"/>
  <c r="W452" i="6"/>
  <c r="X452" i="6"/>
  <c r="U453" i="6"/>
  <c r="V453" i="6"/>
  <c r="W453" i="6"/>
  <c r="X453" i="6"/>
  <c r="U454" i="6"/>
  <c r="V454" i="6"/>
  <c r="W454" i="6"/>
  <c r="X454" i="6"/>
  <c r="U455" i="6"/>
  <c r="V455" i="6"/>
  <c r="W455" i="6"/>
  <c r="X455" i="6"/>
  <c r="U456" i="6"/>
  <c r="V456" i="6"/>
  <c r="W456" i="6"/>
  <c r="X456" i="6"/>
  <c r="U457" i="6"/>
  <c r="V457" i="6"/>
  <c r="W457" i="6"/>
  <c r="X457" i="6"/>
  <c r="U458" i="6"/>
  <c r="V458" i="6"/>
  <c r="W458" i="6"/>
  <c r="X458" i="6"/>
  <c r="U459" i="6"/>
  <c r="V459" i="6"/>
  <c r="W459" i="6"/>
  <c r="X459" i="6"/>
  <c r="U460" i="6"/>
  <c r="V460" i="6"/>
  <c r="W460" i="6"/>
  <c r="X460" i="6"/>
  <c r="U461" i="6"/>
  <c r="V461" i="6"/>
  <c r="W461" i="6"/>
  <c r="X461" i="6"/>
  <c r="U462" i="6"/>
  <c r="V462" i="6"/>
  <c r="W462" i="6"/>
  <c r="X462" i="6"/>
  <c r="U463" i="6"/>
  <c r="V463" i="6"/>
  <c r="W463" i="6"/>
  <c r="X463" i="6"/>
  <c r="U464" i="6"/>
  <c r="V464" i="6"/>
  <c r="W464" i="6"/>
  <c r="X464" i="6"/>
  <c r="U465" i="6"/>
  <c r="V465" i="6"/>
  <c r="W465" i="6"/>
  <c r="X465" i="6"/>
  <c r="U466" i="6"/>
  <c r="V466" i="6"/>
  <c r="W466" i="6"/>
  <c r="X466" i="6"/>
  <c r="U467" i="6"/>
  <c r="V467" i="6"/>
  <c r="W467" i="6"/>
  <c r="X467" i="6"/>
  <c r="U468" i="6"/>
  <c r="V468" i="6"/>
  <c r="W468" i="6"/>
  <c r="X468" i="6"/>
  <c r="U469" i="6"/>
  <c r="V469" i="6"/>
  <c r="W469" i="6"/>
  <c r="X469" i="6"/>
  <c r="U470" i="6"/>
  <c r="V470" i="6"/>
  <c r="W470" i="6"/>
  <c r="X470" i="6"/>
  <c r="U471" i="6"/>
  <c r="V471" i="6"/>
  <c r="W471" i="6"/>
  <c r="X471" i="6"/>
  <c r="U472" i="6"/>
  <c r="V472" i="6"/>
  <c r="W472" i="6"/>
  <c r="X472" i="6"/>
  <c r="U473" i="6"/>
  <c r="V473" i="6"/>
  <c r="W473" i="6"/>
  <c r="X473" i="6"/>
  <c r="U474" i="6"/>
  <c r="V474" i="6"/>
  <c r="W474" i="6"/>
  <c r="X474" i="6"/>
  <c r="U475" i="6"/>
  <c r="V475" i="6"/>
  <c r="W475" i="6"/>
  <c r="X475" i="6"/>
  <c r="U476" i="6"/>
  <c r="V476" i="6"/>
  <c r="W476" i="6"/>
  <c r="X476" i="6"/>
  <c r="U477" i="6"/>
  <c r="V477" i="6"/>
  <c r="W477" i="6"/>
  <c r="X477" i="6"/>
  <c r="U478" i="6"/>
  <c r="V478" i="6"/>
  <c r="W478" i="6"/>
  <c r="X478" i="6"/>
  <c r="U479" i="6"/>
  <c r="V479" i="6"/>
  <c r="W479" i="6"/>
  <c r="X479" i="6"/>
  <c r="U480" i="6"/>
  <c r="V480" i="6"/>
  <c r="W480" i="6"/>
  <c r="X480" i="6"/>
  <c r="U481" i="6"/>
  <c r="V481" i="6"/>
  <c r="W481" i="6"/>
  <c r="X481" i="6"/>
  <c r="U482" i="6"/>
  <c r="V482" i="6"/>
  <c r="W482" i="6"/>
  <c r="X482" i="6"/>
  <c r="U483" i="6"/>
  <c r="V483" i="6"/>
  <c r="W483" i="6"/>
  <c r="X483" i="6"/>
  <c r="U484" i="6"/>
  <c r="V484" i="6"/>
  <c r="W484" i="6"/>
  <c r="X484" i="6"/>
  <c r="U485" i="6"/>
  <c r="V485" i="6"/>
  <c r="W485" i="6"/>
  <c r="X485" i="6"/>
  <c r="U486" i="6"/>
  <c r="V486" i="6"/>
  <c r="W486" i="6"/>
  <c r="X486" i="6"/>
  <c r="U487" i="6"/>
  <c r="V487" i="6"/>
  <c r="W487" i="6"/>
  <c r="X487" i="6"/>
  <c r="U488" i="6"/>
  <c r="V488" i="6"/>
  <c r="W488" i="6"/>
  <c r="X488" i="6"/>
  <c r="U489" i="6"/>
  <c r="V489" i="6"/>
  <c r="W489" i="6"/>
  <c r="X489" i="6"/>
  <c r="U490" i="6"/>
  <c r="V490" i="6"/>
  <c r="W490" i="6"/>
  <c r="X490" i="6"/>
  <c r="U491" i="6"/>
  <c r="V491" i="6"/>
  <c r="W491" i="6"/>
  <c r="X491" i="6"/>
  <c r="U492" i="6"/>
  <c r="V492" i="6"/>
  <c r="W492" i="6"/>
  <c r="X492" i="6"/>
  <c r="U493" i="6"/>
  <c r="V493" i="6"/>
  <c r="W493" i="6"/>
  <c r="X493" i="6"/>
  <c r="U494" i="6"/>
  <c r="V494" i="6"/>
  <c r="W494" i="6"/>
  <c r="X494" i="6"/>
  <c r="U495" i="6"/>
  <c r="V495" i="6"/>
  <c r="W495" i="6"/>
  <c r="X495" i="6"/>
  <c r="U496" i="6"/>
  <c r="V496" i="6"/>
  <c r="W496" i="6"/>
  <c r="X496" i="6"/>
  <c r="U497" i="6"/>
  <c r="V497" i="6"/>
  <c r="W497" i="6"/>
  <c r="X497" i="6"/>
  <c r="U498" i="6"/>
  <c r="V498" i="6"/>
  <c r="W498" i="6"/>
  <c r="X498" i="6"/>
  <c r="U499" i="6"/>
  <c r="V499" i="6"/>
  <c r="W499" i="6"/>
  <c r="X499" i="6"/>
  <c r="U500" i="6"/>
  <c r="V500" i="6"/>
  <c r="W500" i="6"/>
  <c r="X500" i="6"/>
  <c r="U440" i="6"/>
  <c r="V440" i="6"/>
  <c r="W440" i="6"/>
  <c r="X440" i="6"/>
  <c r="U505" i="6"/>
  <c r="V505" i="6"/>
  <c r="W505" i="6"/>
  <c r="X505" i="6"/>
  <c r="U506" i="6"/>
  <c r="V506" i="6"/>
  <c r="W506" i="6"/>
  <c r="X506" i="6"/>
  <c r="U507" i="6"/>
  <c r="V507" i="6"/>
  <c r="W507" i="6"/>
  <c r="X507" i="6"/>
  <c r="U508" i="6"/>
  <c r="V508" i="6"/>
  <c r="W508" i="6"/>
  <c r="X508" i="6"/>
  <c r="U509" i="6"/>
  <c r="V509" i="6"/>
  <c r="W509" i="6"/>
  <c r="X509" i="6"/>
  <c r="U510" i="6"/>
  <c r="V510" i="6"/>
  <c r="W510" i="6"/>
  <c r="X510" i="6"/>
  <c r="U511" i="6"/>
  <c r="V511" i="6"/>
  <c r="W511" i="6"/>
  <c r="X511" i="6"/>
  <c r="U512" i="6"/>
  <c r="V512" i="6"/>
  <c r="W512" i="6"/>
  <c r="X512" i="6"/>
  <c r="U513" i="6"/>
  <c r="V513" i="6"/>
  <c r="W513" i="6"/>
  <c r="X513" i="6"/>
  <c r="U514" i="6"/>
  <c r="V514" i="6"/>
  <c r="W514" i="6"/>
  <c r="X514" i="6"/>
  <c r="U515" i="6"/>
  <c r="V515" i="6"/>
  <c r="W515" i="6"/>
  <c r="X515" i="6"/>
  <c r="U516" i="6"/>
  <c r="V516" i="6"/>
  <c r="W516" i="6"/>
  <c r="X516" i="6"/>
  <c r="U517" i="6"/>
  <c r="V517" i="6"/>
  <c r="W517" i="6"/>
  <c r="X517" i="6"/>
  <c r="U518" i="6"/>
  <c r="V518" i="6"/>
  <c r="W518" i="6"/>
  <c r="X518" i="6"/>
  <c r="U519" i="6"/>
  <c r="V519" i="6"/>
  <c r="W519" i="6"/>
  <c r="X519" i="6"/>
  <c r="U520" i="6"/>
  <c r="V520" i="6"/>
  <c r="W520" i="6"/>
  <c r="X520" i="6"/>
  <c r="U521" i="6"/>
  <c r="V521" i="6"/>
  <c r="W521" i="6"/>
  <c r="X521" i="6"/>
  <c r="U522" i="6"/>
  <c r="V522" i="6"/>
  <c r="W522" i="6"/>
  <c r="X522" i="6"/>
  <c r="U523" i="6"/>
  <c r="V523" i="6"/>
  <c r="W523" i="6"/>
  <c r="X523" i="6"/>
  <c r="U524" i="6"/>
  <c r="V524" i="6"/>
  <c r="W524" i="6"/>
  <c r="X524" i="6"/>
  <c r="U525" i="6"/>
  <c r="V525" i="6"/>
  <c r="W525" i="6"/>
  <c r="X525" i="6"/>
  <c r="U526" i="6"/>
  <c r="V526" i="6"/>
  <c r="W526" i="6"/>
  <c r="X526" i="6"/>
  <c r="U527" i="6"/>
  <c r="V527" i="6"/>
  <c r="W527" i="6"/>
  <c r="X527" i="6"/>
  <c r="U528" i="6"/>
  <c r="V528" i="6"/>
  <c r="W528" i="6"/>
  <c r="X528" i="6"/>
  <c r="U529" i="6"/>
  <c r="V529" i="6"/>
  <c r="W529" i="6"/>
  <c r="X529" i="6"/>
  <c r="U530" i="6"/>
  <c r="V530" i="6"/>
  <c r="W530" i="6"/>
  <c r="X530" i="6"/>
  <c r="U531" i="6"/>
  <c r="V531" i="6"/>
  <c r="W531" i="6"/>
  <c r="X531" i="6"/>
  <c r="U532" i="6"/>
  <c r="V532" i="6"/>
  <c r="W532" i="6"/>
  <c r="X532" i="6"/>
  <c r="U533" i="6"/>
  <c r="V533" i="6"/>
  <c r="W533" i="6"/>
  <c r="X533" i="6"/>
  <c r="U534" i="6"/>
  <c r="V534" i="6"/>
  <c r="W534" i="6"/>
  <c r="X534" i="6"/>
  <c r="U535" i="6"/>
  <c r="V535" i="6"/>
  <c r="W535" i="6"/>
  <c r="X535" i="6"/>
  <c r="U536" i="6"/>
  <c r="V536" i="6"/>
  <c r="W536" i="6"/>
  <c r="X536" i="6"/>
  <c r="U537" i="6"/>
  <c r="V537" i="6"/>
  <c r="W537" i="6"/>
  <c r="X537" i="6"/>
  <c r="U538" i="6"/>
  <c r="V538" i="6"/>
  <c r="W538" i="6"/>
  <c r="X538" i="6"/>
  <c r="U539" i="6"/>
  <c r="V539" i="6"/>
  <c r="W539" i="6"/>
  <c r="X539" i="6"/>
  <c r="U540" i="6"/>
  <c r="V540" i="6"/>
  <c r="W540" i="6"/>
  <c r="X540" i="6"/>
  <c r="U541" i="6"/>
  <c r="V541" i="6"/>
  <c r="W541" i="6"/>
  <c r="X541" i="6"/>
  <c r="U542" i="6"/>
  <c r="V542" i="6"/>
  <c r="W542" i="6"/>
  <c r="X542" i="6"/>
  <c r="U543" i="6"/>
  <c r="V543" i="6"/>
  <c r="W543" i="6"/>
  <c r="X543" i="6"/>
  <c r="U544" i="6"/>
  <c r="V544" i="6"/>
  <c r="W544" i="6"/>
  <c r="X544" i="6"/>
  <c r="U545" i="6"/>
  <c r="V545" i="6"/>
  <c r="W545" i="6"/>
  <c r="X545" i="6"/>
  <c r="U546" i="6"/>
  <c r="V546" i="6"/>
  <c r="W546" i="6"/>
  <c r="X546" i="6"/>
  <c r="U547" i="6"/>
  <c r="V547" i="6"/>
  <c r="W547" i="6"/>
  <c r="X547" i="6"/>
  <c r="U548" i="6"/>
  <c r="V548" i="6"/>
  <c r="W548" i="6"/>
  <c r="X548" i="6"/>
  <c r="U549" i="6"/>
  <c r="V549" i="6"/>
  <c r="W549" i="6"/>
  <c r="X549" i="6"/>
  <c r="U550" i="6"/>
  <c r="V550" i="6"/>
  <c r="W550" i="6"/>
  <c r="X550" i="6"/>
  <c r="U551" i="6"/>
  <c r="V551" i="6"/>
  <c r="W551" i="6"/>
  <c r="X551" i="6"/>
  <c r="U552" i="6"/>
  <c r="V552" i="6"/>
  <c r="W552" i="6"/>
  <c r="X552" i="6"/>
  <c r="U553" i="6"/>
  <c r="V553" i="6"/>
  <c r="W553" i="6"/>
  <c r="X553" i="6"/>
  <c r="U554" i="6"/>
  <c r="V554" i="6"/>
  <c r="W554" i="6"/>
  <c r="X554" i="6"/>
  <c r="U555" i="6"/>
  <c r="V555" i="6"/>
  <c r="W555" i="6"/>
  <c r="X555" i="6"/>
  <c r="U556" i="6"/>
  <c r="V556" i="6"/>
  <c r="W556" i="6"/>
  <c r="X556" i="6"/>
  <c r="U557" i="6"/>
  <c r="V557" i="6"/>
  <c r="W557" i="6"/>
  <c r="X557" i="6"/>
  <c r="U558" i="6"/>
  <c r="V558" i="6"/>
  <c r="W558" i="6"/>
  <c r="X558" i="6"/>
  <c r="U559" i="6"/>
  <c r="V559" i="6"/>
  <c r="W559" i="6"/>
  <c r="X559" i="6"/>
  <c r="U560" i="6"/>
  <c r="V560" i="6"/>
  <c r="W560" i="6"/>
  <c r="X560" i="6"/>
  <c r="U561" i="6"/>
  <c r="V561" i="6"/>
  <c r="W561" i="6"/>
  <c r="X561" i="6"/>
  <c r="U562" i="6"/>
  <c r="V562" i="6"/>
  <c r="W562" i="6"/>
  <c r="X562" i="6"/>
  <c r="U563" i="6"/>
  <c r="V563" i="6"/>
  <c r="W563" i="6"/>
  <c r="X563" i="6"/>
  <c r="U564" i="6"/>
  <c r="V564" i="6"/>
  <c r="W564" i="6"/>
  <c r="X564" i="6"/>
  <c r="U565" i="6"/>
  <c r="V565" i="6"/>
  <c r="W565" i="6"/>
  <c r="X565" i="6"/>
  <c r="U566" i="6"/>
  <c r="V566" i="6"/>
  <c r="W566" i="6"/>
  <c r="X566" i="6"/>
  <c r="U567" i="6"/>
  <c r="V567" i="6"/>
  <c r="W567" i="6"/>
  <c r="X567" i="6"/>
  <c r="U568" i="6"/>
  <c r="V568" i="6"/>
  <c r="W568" i="6"/>
  <c r="X568" i="6"/>
  <c r="U569" i="6"/>
  <c r="V569" i="6"/>
  <c r="W569" i="6"/>
  <c r="X569" i="6"/>
  <c r="U570" i="6"/>
  <c r="V570" i="6"/>
  <c r="W570" i="6"/>
  <c r="X570" i="6"/>
  <c r="U571" i="6"/>
  <c r="V571" i="6"/>
  <c r="W571" i="6"/>
  <c r="X571" i="6"/>
  <c r="U504" i="6"/>
  <c r="V504" i="6"/>
  <c r="W504" i="6"/>
  <c r="X504" i="6"/>
  <c r="U615" i="6"/>
  <c r="V615" i="6"/>
  <c r="W615" i="6"/>
  <c r="X615" i="6"/>
  <c r="U616" i="6"/>
  <c r="V616" i="6"/>
  <c r="W616" i="6"/>
  <c r="X616" i="6"/>
  <c r="U617" i="6"/>
  <c r="V617" i="6"/>
  <c r="W617" i="6"/>
  <c r="X617" i="6"/>
  <c r="U618" i="6"/>
  <c r="V618" i="6"/>
  <c r="W618" i="6"/>
  <c r="X618" i="6"/>
  <c r="U619" i="6"/>
  <c r="V619" i="6"/>
  <c r="W619" i="6"/>
  <c r="X619" i="6"/>
  <c r="U620" i="6"/>
  <c r="V620" i="6"/>
  <c r="W620" i="6"/>
  <c r="X620" i="6"/>
  <c r="U621" i="6"/>
  <c r="V621" i="6"/>
  <c r="W621" i="6"/>
  <c r="X621" i="6"/>
  <c r="U622" i="6"/>
  <c r="V622" i="6"/>
  <c r="W622" i="6"/>
  <c r="X622" i="6"/>
  <c r="U623" i="6"/>
  <c r="V623" i="6"/>
  <c r="W623" i="6"/>
  <c r="X623" i="6"/>
  <c r="U624" i="6"/>
  <c r="V624" i="6"/>
  <c r="W624" i="6"/>
  <c r="X624" i="6"/>
  <c r="U625" i="6"/>
  <c r="V625" i="6"/>
  <c r="W625" i="6"/>
  <c r="X625" i="6"/>
  <c r="U626" i="6"/>
  <c r="V626" i="6"/>
  <c r="W626" i="6"/>
  <c r="X626" i="6"/>
  <c r="U627" i="6"/>
  <c r="V627" i="6"/>
  <c r="W627" i="6"/>
  <c r="X627" i="6"/>
  <c r="U628" i="6"/>
  <c r="V628" i="6"/>
  <c r="W628" i="6"/>
  <c r="X628" i="6"/>
  <c r="U629" i="6"/>
  <c r="V629" i="6"/>
  <c r="W629" i="6"/>
  <c r="X629" i="6"/>
  <c r="U630" i="6"/>
  <c r="V630" i="6"/>
  <c r="W630" i="6"/>
  <c r="X630" i="6"/>
  <c r="U631" i="6"/>
  <c r="V631" i="6"/>
  <c r="W631" i="6"/>
  <c r="X631" i="6"/>
  <c r="U632" i="6"/>
  <c r="V632" i="6"/>
  <c r="W632" i="6"/>
  <c r="X632" i="6"/>
  <c r="U633" i="6"/>
  <c r="V633" i="6"/>
  <c r="W633" i="6"/>
  <c r="X633" i="6"/>
  <c r="U634" i="6"/>
  <c r="V634" i="6"/>
  <c r="W634" i="6"/>
  <c r="X634" i="6"/>
  <c r="U635" i="6"/>
  <c r="V635" i="6"/>
  <c r="W635" i="6"/>
  <c r="X635" i="6"/>
  <c r="U636" i="6"/>
  <c r="V636" i="6"/>
  <c r="W636" i="6"/>
  <c r="X636" i="6"/>
  <c r="U637" i="6"/>
  <c r="V637" i="6"/>
  <c r="W637" i="6"/>
  <c r="X637" i="6"/>
  <c r="U638" i="6"/>
  <c r="V638" i="6"/>
  <c r="W638" i="6"/>
  <c r="X638" i="6"/>
  <c r="U639" i="6"/>
  <c r="V639" i="6"/>
  <c r="W639" i="6"/>
  <c r="X639" i="6"/>
  <c r="U640" i="6"/>
  <c r="V640" i="6"/>
  <c r="W640" i="6"/>
  <c r="X640" i="6"/>
  <c r="U641" i="6"/>
  <c r="V641" i="6"/>
  <c r="W641" i="6"/>
  <c r="X641" i="6"/>
  <c r="U642" i="6"/>
  <c r="V642" i="6"/>
  <c r="W642" i="6"/>
  <c r="X642" i="6"/>
  <c r="U643" i="6"/>
  <c r="V643" i="6"/>
  <c r="W643" i="6"/>
  <c r="X643" i="6"/>
  <c r="U644" i="6"/>
  <c r="V644" i="6"/>
  <c r="W644" i="6"/>
  <c r="X644" i="6"/>
  <c r="U645" i="6"/>
  <c r="V645" i="6"/>
  <c r="W645" i="6"/>
  <c r="X645" i="6"/>
  <c r="U646" i="6"/>
  <c r="V646" i="6"/>
  <c r="W646" i="6"/>
  <c r="X646" i="6"/>
  <c r="U647" i="6"/>
  <c r="V647" i="6"/>
  <c r="W647" i="6"/>
  <c r="X647" i="6"/>
  <c r="U648" i="6"/>
  <c r="V648" i="6"/>
  <c r="W648" i="6"/>
  <c r="X648" i="6"/>
  <c r="U649" i="6"/>
  <c r="V649" i="6"/>
  <c r="W649" i="6"/>
  <c r="X649" i="6"/>
  <c r="U650" i="6"/>
  <c r="V650" i="6"/>
  <c r="W650" i="6"/>
  <c r="X650" i="6"/>
  <c r="U651" i="6"/>
  <c r="V651" i="6"/>
  <c r="W651" i="6"/>
  <c r="X651" i="6"/>
  <c r="U652" i="6"/>
  <c r="V652" i="6"/>
  <c r="W652" i="6"/>
  <c r="X652" i="6"/>
  <c r="U653" i="6"/>
  <c r="V653" i="6"/>
  <c r="W653" i="6"/>
  <c r="X653" i="6"/>
  <c r="U654" i="6"/>
  <c r="V654" i="6"/>
  <c r="W654" i="6"/>
  <c r="X654" i="6"/>
  <c r="U655" i="6"/>
  <c r="V655" i="6"/>
  <c r="W655" i="6"/>
  <c r="X655" i="6"/>
  <c r="U656" i="6"/>
  <c r="V656" i="6"/>
  <c r="W656" i="6"/>
  <c r="X656" i="6"/>
  <c r="U657" i="6"/>
  <c r="V657" i="6"/>
  <c r="W657" i="6"/>
  <c r="X657" i="6"/>
  <c r="U658" i="6"/>
  <c r="V658" i="6"/>
  <c r="W658" i="6"/>
  <c r="X658" i="6"/>
  <c r="U659" i="6"/>
  <c r="V659" i="6"/>
  <c r="W659" i="6"/>
  <c r="X659" i="6"/>
  <c r="U660" i="6"/>
  <c r="V660" i="6"/>
  <c r="W660" i="6"/>
  <c r="X660" i="6"/>
  <c r="U661" i="6"/>
  <c r="V661" i="6"/>
  <c r="W661" i="6"/>
  <c r="X661" i="6"/>
  <c r="U662" i="6"/>
  <c r="V662" i="6"/>
  <c r="W662" i="6"/>
  <c r="X662" i="6"/>
  <c r="U663" i="6"/>
  <c r="V663" i="6"/>
  <c r="W663" i="6"/>
  <c r="X663" i="6"/>
  <c r="U664" i="6"/>
  <c r="V664" i="6"/>
  <c r="W664" i="6"/>
  <c r="X664" i="6"/>
  <c r="U665" i="6"/>
  <c r="V665" i="6"/>
  <c r="W665" i="6"/>
  <c r="X665" i="6"/>
  <c r="U666" i="6"/>
  <c r="V666" i="6"/>
  <c r="W666" i="6"/>
  <c r="X666" i="6"/>
  <c r="U667" i="6"/>
  <c r="V667" i="6"/>
  <c r="W667" i="6"/>
  <c r="X667" i="6"/>
  <c r="U668" i="6"/>
  <c r="V668" i="6"/>
  <c r="W668" i="6"/>
  <c r="X668" i="6"/>
  <c r="U669" i="6"/>
  <c r="V669" i="6"/>
  <c r="W669" i="6"/>
  <c r="X669" i="6"/>
  <c r="U670" i="6"/>
  <c r="V670" i="6"/>
  <c r="W670" i="6"/>
  <c r="X670" i="6"/>
  <c r="U671" i="6"/>
  <c r="V671" i="6"/>
  <c r="W671" i="6"/>
  <c r="X671" i="6"/>
  <c r="U672" i="6"/>
  <c r="V672" i="6"/>
  <c r="W672" i="6"/>
  <c r="X672" i="6"/>
  <c r="U673" i="6"/>
  <c r="V673" i="6"/>
  <c r="W673" i="6"/>
  <c r="X673" i="6"/>
  <c r="U674" i="6"/>
  <c r="V674" i="6"/>
  <c r="W674" i="6"/>
  <c r="X674" i="6"/>
  <c r="U614" i="6"/>
  <c r="V614" i="6"/>
  <c r="W614" i="6"/>
  <c r="X614" i="6"/>
  <c r="U679" i="6"/>
  <c r="V679" i="6"/>
  <c r="W679" i="6"/>
  <c r="X679" i="6"/>
  <c r="U680" i="6"/>
  <c r="V680" i="6"/>
  <c r="W680" i="6"/>
  <c r="X680" i="6"/>
  <c r="U681" i="6"/>
  <c r="V681" i="6"/>
  <c r="W681" i="6"/>
  <c r="X681" i="6"/>
  <c r="U682" i="6"/>
  <c r="V682" i="6"/>
  <c r="W682" i="6"/>
  <c r="X682" i="6"/>
  <c r="U683" i="6"/>
  <c r="V683" i="6"/>
  <c r="W683" i="6"/>
  <c r="X683" i="6"/>
  <c r="U684" i="6"/>
  <c r="V684" i="6"/>
  <c r="W684" i="6"/>
  <c r="X684" i="6"/>
  <c r="U685" i="6"/>
  <c r="V685" i="6"/>
  <c r="W685" i="6"/>
  <c r="X685" i="6"/>
  <c r="U686" i="6"/>
  <c r="V686" i="6"/>
  <c r="W686" i="6"/>
  <c r="X686" i="6"/>
  <c r="U687" i="6"/>
  <c r="V687" i="6"/>
  <c r="W687" i="6"/>
  <c r="X687" i="6"/>
  <c r="U688" i="6"/>
  <c r="V688" i="6"/>
  <c r="W688" i="6"/>
  <c r="X688" i="6"/>
  <c r="U689" i="6"/>
  <c r="V689" i="6"/>
  <c r="W689" i="6"/>
  <c r="X689" i="6"/>
  <c r="U690" i="6"/>
  <c r="V690" i="6"/>
  <c r="W690" i="6"/>
  <c r="X690" i="6"/>
  <c r="U691" i="6"/>
  <c r="V691" i="6"/>
  <c r="W691" i="6"/>
  <c r="X691" i="6"/>
  <c r="U692" i="6"/>
  <c r="V692" i="6"/>
  <c r="W692" i="6"/>
  <c r="X692" i="6"/>
  <c r="U693" i="6"/>
  <c r="V693" i="6"/>
  <c r="W693" i="6"/>
  <c r="X693" i="6"/>
  <c r="U694" i="6"/>
  <c r="V694" i="6"/>
  <c r="W694" i="6"/>
  <c r="X694" i="6"/>
  <c r="U695" i="6"/>
  <c r="V695" i="6"/>
  <c r="W695" i="6"/>
  <c r="X695" i="6"/>
  <c r="U696" i="6"/>
  <c r="V696" i="6"/>
  <c r="W696" i="6"/>
  <c r="X696" i="6"/>
  <c r="U697" i="6"/>
  <c r="V697" i="6"/>
  <c r="W697" i="6"/>
  <c r="X697" i="6"/>
  <c r="U698" i="6"/>
  <c r="V698" i="6"/>
  <c r="W698" i="6"/>
  <c r="X698" i="6"/>
  <c r="U699" i="6"/>
  <c r="V699" i="6"/>
  <c r="W699" i="6"/>
  <c r="X699" i="6"/>
  <c r="U700" i="6"/>
  <c r="V700" i="6"/>
  <c r="W700" i="6"/>
  <c r="X700" i="6"/>
  <c r="U701" i="6"/>
  <c r="V701" i="6"/>
  <c r="W701" i="6"/>
  <c r="X701" i="6"/>
  <c r="U702" i="6"/>
  <c r="V702" i="6"/>
  <c r="W702" i="6"/>
  <c r="X702" i="6"/>
  <c r="U703" i="6"/>
  <c r="V703" i="6"/>
  <c r="W703" i="6"/>
  <c r="X703" i="6"/>
  <c r="U704" i="6"/>
  <c r="V704" i="6"/>
  <c r="W704" i="6"/>
  <c r="X704" i="6"/>
  <c r="U705" i="6"/>
  <c r="V705" i="6"/>
  <c r="W705" i="6"/>
  <c r="X705" i="6"/>
  <c r="U706" i="6"/>
  <c r="V706" i="6"/>
  <c r="W706" i="6"/>
  <c r="X706" i="6"/>
  <c r="U707" i="6"/>
  <c r="V707" i="6"/>
  <c r="W707" i="6"/>
  <c r="X707" i="6"/>
  <c r="U708" i="6"/>
  <c r="V708" i="6"/>
  <c r="W708" i="6"/>
  <c r="X708" i="6"/>
  <c r="U709" i="6"/>
  <c r="V709" i="6"/>
  <c r="W709" i="6"/>
  <c r="X709" i="6"/>
  <c r="U710" i="6"/>
  <c r="V710" i="6"/>
  <c r="W710" i="6"/>
  <c r="X710" i="6"/>
  <c r="U711" i="6"/>
  <c r="V711" i="6"/>
  <c r="W711" i="6"/>
  <c r="X711" i="6"/>
  <c r="U712" i="6"/>
  <c r="V712" i="6"/>
  <c r="W712" i="6"/>
  <c r="X712" i="6"/>
  <c r="U713" i="6"/>
  <c r="V713" i="6"/>
  <c r="W713" i="6"/>
  <c r="X713" i="6"/>
  <c r="U714" i="6"/>
  <c r="V714" i="6"/>
  <c r="W714" i="6"/>
  <c r="X714" i="6"/>
  <c r="U715" i="6"/>
  <c r="V715" i="6"/>
  <c r="W715" i="6"/>
  <c r="X715" i="6"/>
  <c r="U716" i="6"/>
  <c r="V716" i="6"/>
  <c r="W716" i="6"/>
  <c r="X716" i="6"/>
  <c r="U717" i="6"/>
  <c r="V717" i="6"/>
  <c r="W717" i="6"/>
  <c r="X717" i="6"/>
  <c r="U718" i="6"/>
  <c r="V718" i="6"/>
  <c r="W718" i="6"/>
  <c r="X718" i="6"/>
  <c r="U719" i="6"/>
  <c r="V719" i="6"/>
  <c r="W719" i="6"/>
  <c r="X719" i="6"/>
  <c r="U720" i="6"/>
  <c r="V720" i="6"/>
  <c r="W720" i="6"/>
  <c r="X720" i="6"/>
  <c r="U721" i="6"/>
  <c r="V721" i="6"/>
  <c r="W721" i="6"/>
  <c r="X721" i="6"/>
  <c r="U722" i="6"/>
  <c r="V722" i="6"/>
  <c r="W722" i="6"/>
  <c r="X722" i="6"/>
  <c r="U723" i="6"/>
  <c r="V723" i="6"/>
  <c r="W723" i="6"/>
  <c r="X723" i="6"/>
  <c r="U724" i="6"/>
  <c r="V724" i="6"/>
  <c r="W724" i="6"/>
  <c r="X724" i="6"/>
  <c r="U725" i="6"/>
  <c r="V725" i="6"/>
  <c r="W725" i="6"/>
  <c r="X725" i="6"/>
  <c r="U726" i="6"/>
  <c r="V726" i="6"/>
  <c r="W726" i="6"/>
  <c r="X726" i="6"/>
  <c r="U727" i="6"/>
  <c r="V727" i="6"/>
  <c r="W727" i="6"/>
  <c r="X727" i="6"/>
  <c r="U728" i="6"/>
  <c r="V728" i="6"/>
  <c r="W728" i="6"/>
  <c r="X728" i="6"/>
  <c r="U729" i="6"/>
  <c r="V729" i="6"/>
  <c r="W729" i="6"/>
  <c r="X729" i="6"/>
  <c r="U730" i="6"/>
  <c r="V730" i="6"/>
  <c r="W730" i="6"/>
  <c r="X730" i="6"/>
  <c r="U731" i="6"/>
  <c r="V731" i="6"/>
  <c r="W731" i="6"/>
  <c r="X731" i="6"/>
  <c r="U732" i="6"/>
  <c r="V732" i="6"/>
  <c r="W732" i="6"/>
  <c r="X732" i="6"/>
  <c r="U733" i="6"/>
  <c r="V733" i="6"/>
  <c r="W733" i="6"/>
  <c r="X733" i="6"/>
  <c r="U734" i="6"/>
  <c r="V734" i="6"/>
  <c r="W734" i="6"/>
  <c r="X734" i="6"/>
  <c r="U735" i="6"/>
  <c r="V735" i="6"/>
  <c r="W735" i="6"/>
  <c r="X735" i="6"/>
  <c r="U736" i="6"/>
  <c r="V736" i="6"/>
  <c r="W736" i="6"/>
  <c r="X736" i="6"/>
  <c r="U737" i="6"/>
  <c r="V737" i="6"/>
  <c r="W737" i="6"/>
  <c r="X737" i="6"/>
  <c r="U738" i="6"/>
  <c r="V738" i="6"/>
  <c r="W738" i="6"/>
  <c r="X738" i="6"/>
  <c r="U739" i="6"/>
  <c r="V739" i="6"/>
  <c r="W739" i="6"/>
  <c r="X739" i="6"/>
  <c r="U740" i="6"/>
  <c r="V740" i="6"/>
  <c r="W740" i="6"/>
  <c r="X740" i="6"/>
  <c r="U741" i="6"/>
  <c r="V741" i="6"/>
  <c r="W741" i="6"/>
  <c r="X741" i="6"/>
  <c r="U742" i="6"/>
  <c r="V742" i="6"/>
  <c r="W742" i="6"/>
  <c r="X742" i="6"/>
  <c r="U743" i="6"/>
  <c r="V743" i="6"/>
  <c r="W743" i="6"/>
  <c r="X743" i="6"/>
  <c r="U744" i="6"/>
  <c r="V744" i="6"/>
  <c r="W744" i="6"/>
  <c r="X744" i="6"/>
  <c r="U745" i="6"/>
  <c r="V745" i="6"/>
  <c r="W745" i="6"/>
  <c r="X745" i="6"/>
  <c r="U746" i="6"/>
  <c r="V746" i="6"/>
  <c r="W746" i="6"/>
  <c r="X746" i="6"/>
  <c r="U747" i="6"/>
  <c r="V747" i="6"/>
  <c r="W747" i="6"/>
  <c r="X747" i="6"/>
  <c r="U748" i="6"/>
  <c r="V748" i="6"/>
  <c r="W748" i="6"/>
  <c r="X748" i="6"/>
  <c r="U749" i="6"/>
  <c r="V749" i="6"/>
  <c r="W749" i="6"/>
  <c r="X749" i="6"/>
  <c r="U750" i="6"/>
  <c r="V750" i="6"/>
  <c r="W750" i="6"/>
  <c r="X750" i="6"/>
  <c r="U751" i="6"/>
  <c r="V751" i="6"/>
  <c r="W751" i="6"/>
  <c r="X751" i="6"/>
  <c r="U752" i="6"/>
  <c r="V752" i="6"/>
  <c r="W752" i="6"/>
  <c r="X752" i="6"/>
  <c r="U753" i="6"/>
  <c r="V753" i="6"/>
  <c r="W753" i="6"/>
  <c r="X753" i="6"/>
  <c r="U754" i="6"/>
  <c r="V754" i="6"/>
  <c r="W754" i="6"/>
  <c r="X754" i="6"/>
  <c r="U755" i="6"/>
  <c r="V755" i="6"/>
  <c r="W755" i="6"/>
  <c r="X755" i="6"/>
  <c r="U756" i="6"/>
  <c r="V756" i="6"/>
  <c r="W756" i="6"/>
  <c r="X756" i="6"/>
  <c r="U757" i="6"/>
  <c r="V757" i="6"/>
  <c r="W757" i="6"/>
  <c r="X757" i="6"/>
  <c r="U758" i="6"/>
  <c r="V758" i="6"/>
  <c r="W758" i="6"/>
  <c r="X758" i="6"/>
  <c r="U759" i="6"/>
  <c r="V759" i="6"/>
  <c r="W759" i="6"/>
  <c r="X759" i="6"/>
  <c r="U760" i="6"/>
  <c r="V760" i="6"/>
  <c r="W760" i="6"/>
  <c r="X760" i="6"/>
  <c r="U761" i="6"/>
  <c r="V761" i="6"/>
  <c r="W761" i="6"/>
  <c r="X761" i="6"/>
  <c r="U762" i="6"/>
  <c r="V762" i="6"/>
  <c r="W762" i="6"/>
  <c r="X762" i="6"/>
  <c r="U763" i="6"/>
  <c r="V763" i="6"/>
  <c r="W763" i="6"/>
  <c r="X763" i="6"/>
  <c r="U764" i="6"/>
  <c r="V764" i="6"/>
  <c r="W764" i="6"/>
  <c r="X764" i="6"/>
  <c r="U765" i="6"/>
  <c r="V765" i="6"/>
  <c r="W765" i="6"/>
  <c r="X765" i="6"/>
  <c r="U766" i="6"/>
  <c r="V766" i="6"/>
  <c r="W766" i="6"/>
  <c r="X766" i="6"/>
  <c r="U767" i="6"/>
  <c r="V767" i="6"/>
  <c r="W767" i="6"/>
  <c r="X767" i="6"/>
  <c r="U768" i="6"/>
  <c r="V768" i="6"/>
  <c r="W768" i="6"/>
  <c r="X768" i="6"/>
  <c r="U769" i="6"/>
  <c r="V769" i="6"/>
  <c r="W769" i="6"/>
  <c r="X769" i="6"/>
  <c r="U770" i="6"/>
  <c r="V770" i="6"/>
  <c r="W770" i="6"/>
  <c r="X770" i="6"/>
  <c r="U771" i="6"/>
  <c r="V771" i="6"/>
  <c r="W771" i="6"/>
  <c r="X771" i="6"/>
  <c r="U772" i="6"/>
  <c r="V772" i="6"/>
  <c r="W772" i="6"/>
  <c r="X772" i="6"/>
  <c r="U773" i="6"/>
  <c r="V773" i="6"/>
  <c r="W773" i="6"/>
  <c r="X773" i="6"/>
  <c r="U774" i="6"/>
  <c r="V774" i="6"/>
  <c r="W774" i="6"/>
  <c r="X774" i="6"/>
  <c r="U775" i="6"/>
  <c r="V775" i="6"/>
  <c r="W775" i="6"/>
  <c r="X775" i="6"/>
  <c r="U776" i="6"/>
  <c r="V776" i="6"/>
  <c r="W776" i="6"/>
  <c r="X776" i="6"/>
  <c r="U777" i="6"/>
  <c r="V777" i="6"/>
  <c r="W777" i="6"/>
  <c r="X777" i="6"/>
  <c r="U678" i="6"/>
  <c r="V678" i="6"/>
  <c r="W678" i="6"/>
  <c r="X678" i="6"/>
  <c r="U782" i="6"/>
  <c r="V782" i="6"/>
  <c r="W782" i="6"/>
  <c r="X782" i="6"/>
  <c r="U783" i="6"/>
  <c r="V783" i="6"/>
  <c r="W783" i="6"/>
  <c r="X783" i="6"/>
  <c r="U784" i="6"/>
  <c r="V784" i="6"/>
  <c r="W784" i="6"/>
  <c r="X784" i="6"/>
  <c r="U785" i="6"/>
  <c r="V785" i="6"/>
  <c r="W785" i="6"/>
  <c r="X785" i="6"/>
  <c r="U786" i="6"/>
  <c r="V786" i="6"/>
  <c r="W786" i="6"/>
  <c r="X786" i="6"/>
  <c r="U787" i="6"/>
  <c r="V787" i="6"/>
  <c r="W787" i="6"/>
  <c r="X787" i="6"/>
  <c r="U788" i="6"/>
  <c r="V788" i="6"/>
  <c r="W788" i="6"/>
  <c r="X788" i="6"/>
  <c r="U789" i="6"/>
  <c r="V789" i="6"/>
  <c r="W789" i="6"/>
  <c r="X789" i="6"/>
  <c r="U790" i="6"/>
  <c r="V790" i="6"/>
  <c r="W790" i="6"/>
  <c r="X790" i="6"/>
  <c r="U791" i="6"/>
  <c r="V791" i="6"/>
  <c r="W791" i="6"/>
  <c r="X791" i="6"/>
  <c r="U792" i="6"/>
  <c r="V792" i="6"/>
  <c r="W792" i="6"/>
  <c r="X792" i="6"/>
  <c r="U793" i="6"/>
  <c r="V793" i="6"/>
  <c r="W793" i="6"/>
  <c r="X793" i="6"/>
  <c r="U794" i="6"/>
  <c r="V794" i="6"/>
  <c r="W794" i="6"/>
  <c r="X794" i="6"/>
  <c r="U795" i="6"/>
  <c r="V795" i="6"/>
  <c r="W795" i="6"/>
  <c r="X795" i="6"/>
  <c r="U796" i="6"/>
  <c r="V796" i="6"/>
  <c r="W796" i="6"/>
  <c r="X796" i="6"/>
  <c r="U797" i="6"/>
  <c r="V797" i="6"/>
  <c r="W797" i="6"/>
  <c r="X797" i="6"/>
  <c r="U798" i="6"/>
  <c r="V798" i="6"/>
  <c r="W798" i="6"/>
  <c r="X798" i="6"/>
  <c r="U799" i="6"/>
  <c r="V799" i="6"/>
  <c r="W799" i="6"/>
  <c r="X799" i="6"/>
  <c r="U800" i="6"/>
  <c r="V800" i="6"/>
  <c r="W800" i="6"/>
  <c r="X800" i="6"/>
  <c r="U801" i="6"/>
  <c r="V801" i="6"/>
  <c r="W801" i="6"/>
  <c r="X801" i="6"/>
  <c r="U802" i="6"/>
  <c r="V802" i="6"/>
  <c r="W802" i="6"/>
  <c r="X802" i="6"/>
  <c r="U803" i="6"/>
  <c r="V803" i="6"/>
  <c r="W803" i="6"/>
  <c r="X803" i="6"/>
  <c r="U804" i="6"/>
  <c r="V804" i="6"/>
  <c r="W804" i="6"/>
  <c r="X804" i="6"/>
  <c r="U805" i="6"/>
  <c r="V805" i="6"/>
  <c r="W805" i="6"/>
  <c r="X805" i="6"/>
  <c r="U806" i="6"/>
  <c r="V806" i="6"/>
  <c r="W806" i="6"/>
  <c r="X806" i="6"/>
  <c r="U807" i="6"/>
  <c r="V807" i="6"/>
  <c r="W807" i="6"/>
  <c r="X807" i="6"/>
  <c r="U808" i="6"/>
  <c r="V808" i="6"/>
  <c r="W808" i="6"/>
  <c r="X808" i="6"/>
  <c r="U809" i="6"/>
  <c r="V809" i="6"/>
  <c r="W809" i="6"/>
  <c r="X809" i="6"/>
  <c r="U810" i="6"/>
  <c r="V810" i="6"/>
  <c r="W810" i="6"/>
  <c r="X810" i="6"/>
  <c r="U811" i="6"/>
  <c r="V811" i="6"/>
  <c r="W811" i="6"/>
  <c r="X811" i="6"/>
  <c r="U812" i="6"/>
  <c r="V812" i="6"/>
  <c r="W812" i="6"/>
  <c r="X812" i="6"/>
  <c r="U813" i="6"/>
  <c r="V813" i="6"/>
  <c r="W813" i="6"/>
  <c r="X813" i="6"/>
  <c r="U814" i="6"/>
  <c r="V814" i="6"/>
  <c r="W814" i="6"/>
  <c r="X814" i="6"/>
  <c r="U815" i="6"/>
  <c r="V815" i="6"/>
  <c r="W815" i="6"/>
  <c r="X815" i="6"/>
  <c r="U816" i="6"/>
  <c r="V816" i="6"/>
  <c r="W816" i="6"/>
  <c r="X816" i="6"/>
  <c r="U817" i="6"/>
  <c r="V817" i="6"/>
  <c r="W817" i="6"/>
  <c r="X817" i="6"/>
  <c r="U818" i="6"/>
  <c r="V818" i="6"/>
  <c r="W818" i="6"/>
  <c r="X818" i="6"/>
  <c r="U819" i="6"/>
  <c r="V819" i="6"/>
  <c r="W819" i="6"/>
  <c r="X819" i="6"/>
  <c r="U820" i="6"/>
  <c r="V820" i="6"/>
  <c r="W820" i="6"/>
  <c r="X820" i="6"/>
  <c r="U821" i="6"/>
  <c r="V821" i="6"/>
  <c r="W821" i="6"/>
  <c r="X821" i="6"/>
  <c r="U822" i="6"/>
  <c r="V822" i="6"/>
  <c r="W822" i="6"/>
  <c r="X822" i="6"/>
  <c r="U823" i="6"/>
  <c r="V823" i="6"/>
  <c r="W823" i="6"/>
  <c r="X823" i="6"/>
  <c r="U824" i="6"/>
  <c r="V824" i="6"/>
  <c r="W824" i="6"/>
  <c r="X824" i="6"/>
  <c r="U825" i="6"/>
  <c r="V825" i="6"/>
  <c r="W825" i="6"/>
  <c r="X825" i="6"/>
  <c r="U826" i="6"/>
  <c r="V826" i="6"/>
  <c r="W826" i="6"/>
  <c r="X826" i="6"/>
  <c r="U827" i="6"/>
  <c r="V827" i="6"/>
  <c r="W827" i="6"/>
  <c r="X827" i="6"/>
  <c r="U828" i="6"/>
  <c r="V828" i="6"/>
  <c r="W828" i="6"/>
  <c r="X828" i="6"/>
  <c r="U829" i="6"/>
  <c r="V829" i="6"/>
  <c r="W829" i="6"/>
  <c r="X829" i="6"/>
  <c r="U830" i="6"/>
  <c r="V830" i="6"/>
  <c r="W830" i="6"/>
  <c r="X830" i="6"/>
  <c r="U831" i="6"/>
  <c r="V831" i="6"/>
  <c r="W831" i="6"/>
  <c r="X831" i="6"/>
  <c r="U832" i="6"/>
  <c r="V832" i="6"/>
  <c r="W832" i="6"/>
  <c r="X832" i="6"/>
  <c r="U833" i="6"/>
  <c r="V833" i="6"/>
  <c r="W833" i="6"/>
  <c r="X833" i="6"/>
  <c r="U834" i="6"/>
  <c r="V834" i="6"/>
  <c r="W834" i="6"/>
  <c r="X834" i="6"/>
  <c r="U835" i="6"/>
  <c r="V835" i="6"/>
  <c r="W835" i="6"/>
  <c r="X835" i="6"/>
  <c r="U836" i="6"/>
  <c r="V836" i="6"/>
  <c r="W836" i="6"/>
  <c r="X836" i="6"/>
  <c r="U837" i="6"/>
  <c r="V837" i="6"/>
  <c r="W837" i="6"/>
  <c r="X837" i="6"/>
  <c r="U838" i="6"/>
  <c r="V838" i="6"/>
  <c r="W838" i="6"/>
  <c r="X838" i="6"/>
  <c r="U839" i="6"/>
  <c r="V839" i="6"/>
  <c r="W839" i="6"/>
  <c r="X839" i="6"/>
  <c r="U840" i="6"/>
  <c r="V840" i="6"/>
  <c r="W840" i="6"/>
  <c r="X840" i="6"/>
  <c r="U841" i="6"/>
  <c r="V841" i="6"/>
  <c r="W841" i="6"/>
  <c r="X841" i="6"/>
  <c r="U842" i="6"/>
  <c r="V842" i="6"/>
  <c r="W842" i="6"/>
  <c r="X842" i="6"/>
  <c r="U843" i="6"/>
  <c r="V843" i="6"/>
  <c r="W843" i="6"/>
  <c r="X843" i="6"/>
  <c r="U844" i="6"/>
  <c r="V844" i="6"/>
  <c r="W844" i="6"/>
  <c r="X844" i="6"/>
  <c r="U845" i="6"/>
  <c r="V845" i="6"/>
  <c r="W845" i="6"/>
  <c r="X845" i="6"/>
  <c r="U846" i="6"/>
  <c r="V846" i="6"/>
  <c r="W846" i="6"/>
  <c r="X846" i="6"/>
  <c r="U847" i="6"/>
  <c r="V847" i="6"/>
  <c r="W847" i="6"/>
  <c r="X847" i="6"/>
  <c r="U848" i="6"/>
  <c r="V848" i="6"/>
  <c r="W848" i="6"/>
  <c r="X848" i="6"/>
  <c r="U849" i="6"/>
  <c r="V849" i="6"/>
  <c r="W849" i="6"/>
  <c r="X849" i="6"/>
  <c r="U850" i="6"/>
  <c r="V850" i="6"/>
  <c r="W850" i="6"/>
  <c r="X850" i="6"/>
  <c r="U851" i="6"/>
  <c r="V851" i="6"/>
  <c r="W851" i="6"/>
  <c r="X851" i="6"/>
  <c r="U852" i="6"/>
  <c r="V852" i="6"/>
  <c r="W852" i="6"/>
  <c r="X852" i="6"/>
  <c r="U853" i="6"/>
  <c r="V853" i="6"/>
  <c r="W853" i="6"/>
  <c r="X853" i="6"/>
  <c r="U854" i="6"/>
  <c r="V854" i="6"/>
  <c r="W854" i="6"/>
  <c r="X854" i="6"/>
  <c r="U855" i="6"/>
  <c r="V855" i="6"/>
  <c r="W855" i="6"/>
  <c r="X855" i="6"/>
  <c r="U856" i="6"/>
  <c r="V856" i="6"/>
  <c r="W856" i="6"/>
  <c r="X856" i="6"/>
  <c r="U857" i="6"/>
  <c r="V857" i="6"/>
  <c r="W857" i="6"/>
  <c r="X857" i="6"/>
  <c r="U858" i="6"/>
  <c r="V858" i="6"/>
  <c r="W858" i="6"/>
  <c r="X858" i="6"/>
  <c r="U859" i="6"/>
  <c r="V859" i="6"/>
  <c r="W859" i="6"/>
  <c r="X859" i="6"/>
  <c r="U860" i="6"/>
  <c r="V860" i="6"/>
  <c r="W860" i="6"/>
  <c r="X860" i="6"/>
  <c r="U861" i="6"/>
  <c r="V861" i="6"/>
  <c r="W861" i="6"/>
  <c r="X861" i="6"/>
  <c r="U862" i="6"/>
  <c r="V862" i="6"/>
  <c r="W862" i="6"/>
  <c r="X862" i="6"/>
  <c r="U863" i="6"/>
  <c r="V863" i="6"/>
  <c r="W863" i="6"/>
  <c r="X863" i="6"/>
  <c r="U864" i="6"/>
  <c r="V864" i="6"/>
  <c r="W864" i="6"/>
  <c r="X864" i="6"/>
  <c r="U865" i="6"/>
  <c r="V865" i="6"/>
  <c r="W865" i="6"/>
  <c r="X865" i="6"/>
  <c r="U866" i="6"/>
  <c r="V866" i="6"/>
  <c r="W866" i="6"/>
  <c r="X866" i="6"/>
  <c r="U867" i="6"/>
  <c r="V867" i="6"/>
  <c r="W867" i="6"/>
  <c r="X867" i="6"/>
  <c r="U868" i="6"/>
  <c r="V868" i="6"/>
  <c r="W868" i="6"/>
  <c r="X868" i="6"/>
  <c r="U869" i="6"/>
  <c r="V869" i="6"/>
  <c r="W869" i="6"/>
  <c r="X869" i="6"/>
  <c r="U870" i="6"/>
  <c r="V870" i="6"/>
  <c r="W870" i="6"/>
  <c r="X870" i="6"/>
  <c r="U871" i="6"/>
  <c r="V871" i="6"/>
  <c r="W871" i="6"/>
  <c r="X871" i="6"/>
  <c r="U872" i="6"/>
  <c r="V872" i="6"/>
  <c r="W872" i="6"/>
  <c r="X872" i="6"/>
  <c r="U873" i="6"/>
  <c r="V873" i="6"/>
  <c r="W873" i="6"/>
  <c r="X873" i="6"/>
  <c r="U874" i="6"/>
  <c r="V874" i="6"/>
  <c r="W874" i="6"/>
  <c r="X874" i="6"/>
  <c r="U875" i="6"/>
  <c r="V875" i="6"/>
  <c r="W875" i="6"/>
  <c r="X875" i="6"/>
  <c r="U876" i="6"/>
  <c r="V876" i="6"/>
  <c r="W876" i="6"/>
  <c r="X876" i="6"/>
  <c r="U877" i="6"/>
  <c r="V877" i="6"/>
  <c r="W877" i="6"/>
  <c r="X877" i="6"/>
  <c r="U878" i="6"/>
  <c r="V878" i="6"/>
  <c r="W878" i="6"/>
  <c r="X878" i="6"/>
  <c r="U879" i="6"/>
  <c r="V879" i="6"/>
  <c r="W879" i="6"/>
  <c r="X879" i="6"/>
  <c r="U880" i="6"/>
  <c r="V880" i="6"/>
  <c r="W880" i="6"/>
  <c r="X880" i="6"/>
  <c r="U781" i="6"/>
  <c r="V781" i="6"/>
  <c r="W781" i="6"/>
  <c r="X781" i="6"/>
  <c r="U885" i="6"/>
  <c r="V885" i="6"/>
  <c r="W885" i="6"/>
  <c r="X885" i="6"/>
  <c r="U886" i="6"/>
  <c r="V886" i="6"/>
  <c r="W886" i="6"/>
  <c r="X886" i="6"/>
  <c r="U887" i="6"/>
  <c r="V887" i="6"/>
  <c r="W887" i="6"/>
  <c r="X887" i="6"/>
  <c r="U888" i="6"/>
  <c r="V888" i="6"/>
  <c r="W888" i="6"/>
  <c r="X888" i="6"/>
  <c r="U889" i="6"/>
  <c r="V889" i="6"/>
  <c r="W889" i="6"/>
  <c r="X889" i="6"/>
  <c r="U890" i="6"/>
  <c r="V890" i="6"/>
  <c r="W890" i="6"/>
  <c r="X890" i="6"/>
  <c r="U891" i="6"/>
  <c r="V891" i="6"/>
  <c r="W891" i="6"/>
  <c r="X891" i="6"/>
  <c r="U892" i="6"/>
  <c r="V892" i="6"/>
  <c r="W892" i="6"/>
  <c r="X892" i="6"/>
  <c r="U893" i="6"/>
  <c r="V893" i="6"/>
  <c r="W893" i="6"/>
  <c r="X893" i="6"/>
  <c r="U894" i="6"/>
  <c r="V894" i="6"/>
  <c r="W894" i="6"/>
  <c r="X894" i="6"/>
  <c r="U895" i="6"/>
  <c r="V895" i="6"/>
  <c r="W895" i="6"/>
  <c r="X895" i="6"/>
  <c r="U896" i="6"/>
  <c r="V896" i="6"/>
  <c r="W896" i="6"/>
  <c r="X896" i="6"/>
  <c r="U897" i="6"/>
  <c r="V897" i="6"/>
  <c r="W897" i="6"/>
  <c r="X897" i="6"/>
  <c r="U898" i="6"/>
  <c r="V898" i="6"/>
  <c r="W898" i="6"/>
  <c r="X898" i="6"/>
  <c r="U899" i="6"/>
  <c r="V899" i="6"/>
  <c r="W899" i="6"/>
  <c r="X899" i="6"/>
  <c r="U900" i="6"/>
  <c r="V900" i="6"/>
  <c r="W900" i="6"/>
  <c r="X900" i="6"/>
  <c r="U901" i="6"/>
  <c r="V901" i="6"/>
  <c r="W901" i="6"/>
  <c r="X901" i="6"/>
  <c r="U902" i="6"/>
  <c r="V902" i="6"/>
  <c r="W902" i="6"/>
  <c r="X902" i="6"/>
  <c r="U903" i="6"/>
  <c r="V903" i="6"/>
  <c r="W903" i="6"/>
  <c r="X903" i="6"/>
  <c r="U904" i="6"/>
  <c r="V904" i="6"/>
  <c r="W904" i="6"/>
  <c r="X904" i="6"/>
  <c r="U905" i="6"/>
  <c r="V905" i="6"/>
  <c r="W905" i="6"/>
  <c r="X905" i="6"/>
  <c r="U906" i="6"/>
  <c r="V906" i="6"/>
  <c r="W906" i="6"/>
  <c r="X906" i="6"/>
  <c r="U907" i="6"/>
  <c r="V907" i="6"/>
  <c r="W907" i="6"/>
  <c r="X907" i="6"/>
  <c r="U908" i="6"/>
  <c r="V908" i="6"/>
  <c r="W908" i="6"/>
  <c r="X908" i="6"/>
  <c r="U909" i="6"/>
  <c r="V909" i="6"/>
  <c r="W909" i="6"/>
  <c r="X909" i="6"/>
  <c r="U910" i="6"/>
  <c r="V910" i="6"/>
  <c r="W910" i="6"/>
  <c r="X910" i="6"/>
  <c r="U911" i="6"/>
  <c r="V911" i="6"/>
  <c r="W911" i="6"/>
  <c r="X911" i="6"/>
  <c r="U912" i="6"/>
  <c r="V912" i="6"/>
  <c r="W912" i="6"/>
  <c r="X912" i="6"/>
  <c r="U913" i="6"/>
  <c r="V913" i="6"/>
  <c r="W913" i="6"/>
  <c r="X913" i="6"/>
  <c r="U914" i="6"/>
  <c r="V914" i="6"/>
  <c r="W914" i="6"/>
  <c r="X914" i="6"/>
  <c r="U915" i="6"/>
  <c r="V915" i="6"/>
  <c r="W915" i="6"/>
  <c r="X915" i="6"/>
  <c r="U916" i="6"/>
  <c r="V916" i="6"/>
  <c r="W916" i="6"/>
  <c r="X916" i="6"/>
  <c r="U917" i="6"/>
  <c r="V917" i="6"/>
  <c r="W917" i="6"/>
  <c r="X917" i="6"/>
  <c r="U918" i="6"/>
  <c r="V918" i="6"/>
  <c r="W918" i="6"/>
  <c r="X918" i="6"/>
  <c r="U919" i="6"/>
  <c r="V919" i="6"/>
  <c r="W919" i="6"/>
  <c r="X919" i="6"/>
  <c r="U920" i="6"/>
  <c r="V920" i="6"/>
  <c r="W920" i="6"/>
  <c r="X920" i="6"/>
  <c r="U921" i="6"/>
  <c r="V921" i="6"/>
  <c r="W921" i="6"/>
  <c r="X921" i="6"/>
  <c r="U922" i="6"/>
  <c r="V922" i="6"/>
  <c r="W922" i="6"/>
  <c r="X922" i="6"/>
  <c r="U923" i="6"/>
  <c r="V923" i="6"/>
  <c r="W923" i="6"/>
  <c r="X923" i="6"/>
  <c r="U924" i="6"/>
  <c r="V924" i="6"/>
  <c r="W924" i="6"/>
  <c r="X924" i="6"/>
  <c r="U925" i="6"/>
  <c r="V925" i="6"/>
  <c r="W925" i="6"/>
  <c r="X925" i="6"/>
  <c r="U926" i="6"/>
  <c r="V926" i="6"/>
  <c r="W926" i="6"/>
  <c r="X926" i="6"/>
  <c r="U927" i="6"/>
  <c r="V927" i="6"/>
  <c r="W927" i="6"/>
  <c r="X927" i="6"/>
  <c r="U928" i="6"/>
  <c r="V928" i="6"/>
  <c r="W928" i="6"/>
  <c r="X928" i="6"/>
  <c r="U929" i="6"/>
  <c r="V929" i="6"/>
  <c r="W929" i="6"/>
  <c r="X929" i="6"/>
  <c r="U930" i="6"/>
  <c r="V930" i="6"/>
  <c r="W930" i="6"/>
  <c r="X930" i="6"/>
  <c r="U931" i="6"/>
  <c r="V931" i="6"/>
  <c r="W931" i="6"/>
  <c r="X931" i="6"/>
  <c r="U932" i="6"/>
  <c r="V932" i="6"/>
  <c r="W932" i="6"/>
  <c r="X932" i="6"/>
  <c r="U933" i="6"/>
  <c r="V933" i="6"/>
  <c r="W933" i="6"/>
  <c r="X933" i="6"/>
  <c r="U934" i="6"/>
  <c r="V934" i="6"/>
  <c r="W934" i="6"/>
  <c r="X934" i="6"/>
  <c r="U935" i="6"/>
  <c r="V935" i="6"/>
  <c r="W935" i="6"/>
  <c r="X935" i="6"/>
  <c r="U936" i="6"/>
  <c r="V936" i="6"/>
  <c r="W936" i="6"/>
  <c r="X936" i="6"/>
  <c r="U937" i="6"/>
  <c r="V937" i="6"/>
  <c r="W937" i="6"/>
  <c r="X937" i="6"/>
  <c r="U938" i="6"/>
  <c r="V938" i="6"/>
  <c r="W938" i="6"/>
  <c r="X938" i="6"/>
  <c r="U939" i="6"/>
  <c r="V939" i="6"/>
  <c r="W939" i="6"/>
  <c r="X939" i="6"/>
  <c r="U940" i="6"/>
  <c r="V940" i="6"/>
  <c r="W940" i="6"/>
  <c r="X940" i="6"/>
  <c r="U941" i="6"/>
  <c r="V941" i="6"/>
  <c r="W941" i="6"/>
  <c r="X941" i="6"/>
  <c r="U942" i="6"/>
  <c r="V942" i="6"/>
  <c r="W942" i="6"/>
  <c r="X942" i="6"/>
  <c r="U943" i="6"/>
  <c r="V943" i="6"/>
  <c r="W943" i="6"/>
  <c r="X943" i="6"/>
  <c r="U944" i="6"/>
  <c r="V944" i="6"/>
  <c r="W944" i="6"/>
  <c r="X944" i="6"/>
  <c r="U945" i="6"/>
  <c r="V945" i="6"/>
  <c r="W945" i="6"/>
  <c r="X945" i="6"/>
  <c r="U946" i="6"/>
  <c r="V946" i="6"/>
  <c r="W946" i="6"/>
  <c r="X946" i="6"/>
  <c r="U947" i="6"/>
  <c r="V947" i="6"/>
  <c r="W947" i="6"/>
  <c r="X947" i="6"/>
  <c r="U948" i="6"/>
  <c r="V948" i="6"/>
  <c r="W948" i="6"/>
  <c r="X948" i="6"/>
  <c r="U949" i="6"/>
  <c r="V949" i="6"/>
  <c r="W949" i="6"/>
  <c r="X949" i="6"/>
  <c r="U950" i="6"/>
  <c r="V950" i="6"/>
  <c r="W950" i="6"/>
  <c r="X950" i="6"/>
  <c r="U951" i="6"/>
  <c r="V951" i="6"/>
  <c r="W951" i="6"/>
  <c r="X951" i="6"/>
  <c r="U952" i="6"/>
  <c r="V952" i="6"/>
  <c r="W952" i="6"/>
  <c r="X952" i="6"/>
  <c r="U953" i="6"/>
  <c r="V953" i="6"/>
  <c r="W953" i="6"/>
  <c r="X953" i="6"/>
  <c r="U954" i="6"/>
  <c r="V954" i="6"/>
  <c r="W954" i="6"/>
  <c r="X954" i="6"/>
  <c r="U955" i="6"/>
  <c r="V955" i="6"/>
  <c r="W955" i="6"/>
  <c r="X955" i="6"/>
  <c r="U956" i="6"/>
  <c r="V956" i="6"/>
  <c r="W956" i="6"/>
  <c r="X956" i="6"/>
  <c r="U957" i="6"/>
  <c r="V957" i="6"/>
  <c r="W957" i="6"/>
  <c r="X957" i="6"/>
  <c r="U958" i="6"/>
  <c r="V958" i="6"/>
  <c r="W958" i="6"/>
  <c r="X958" i="6"/>
  <c r="U959" i="6"/>
  <c r="V959" i="6"/>
  <c r="W959" i="6"/>
  <c r="X959" i="6"/>
  <c r="U960" i="6"/>
  <c r="V960" i="6"/>
  <c r="W960" i="6"/>
  <c r="X960" i="6"/>
  <c r="U961" i="6"/>
  <c r="V961" i="6"/>
  <c r="W961" i="6"/>
  <c r="X961" i="6"/>
  <c r="U962" i="6"/>
  <c r="V962" i="6"/>
  <c r="W962" i="6"/>
  <c r="X962" i="6"/>
  <c r="U963" i="6"/>
  <c r="V963" i="6"/>
  <c r="W963" i="6"/>
  <c r="X963" i="6"/>
  <c r="U964" i="6"/>
  <c r="V964" i="6"/>
  <c r="W964" i="6"/>
  <c r="X964" i="6"/>
  <c r="U965" i="6"/>
  <c r="V965" i="6"/>
  <c r="W965" i="6"/>
  <c r="X965" i="6"/>
  <c r="U966" i="6"/>
  <c r="V966" i="6"/>
  <c r="W966" i="6"/>
  <c r="X966" i="6"/>
  <c r="U967" i="6"/>
  <c r="V967" i="6"/>
  <c r="W967" i="6"/>
  <c r="X967" i="6"/>
  <c r="U968" i="6"/>
  <c r="V968" i="6"/>
  <c r="W968" i="6"/>
  <c r="X968" i="6"/>
  <c r="U969" i="6"/>
  <c r="V969" i="6"/>
  <c r="W969" i="6"/>
  <c r="X969" i="6"/>
  <c r="U970" i="6"/>
  <c r="V970" i="6"/>
  <c r="W970" i="6"/>
  <c r="X970" i="6"/>
  <c r="U971" i="6"/>
  <c r="V971" i="6"/>
  <c r="W971" i="6"/>
  <c r="X971" i="6"/>
  <c r="U972" i="6"/>
  <c r="V972" i="6"/>
  <c r="W972" i="6"/>
  <c r="X972" i="6"/>
  <c r="U973" i="6"/>
  <c r="V973" i="6"/>
  <c r="W973" i="6"/>
  <c r="X973" i="6"/>
  <c r="U974" i="6"/>
  <c r="V974" i="6"/>
  <c r="W974" i="6"/>
  <c r="X974" i="6"/>
  <c r="U975" i="6"/>
  <c r="V975" i="6"/>
  <c r="W975" i="6"/>
  <c r="X975" i="6"/>
  <c r="U976" i="6"/>
  <c r="V976" i="6"/>
  <c r="W976" i="6"/>
  <c r="X976" i="6"/>
  <c r="U977" i="6"/>
  <c r="V977" i="6"/>
  <c r="W977" i="6"/>
  <c r="X977" i="6"/>
  <c r="U978" i="6"/>
  <c r="V978" i="6"/>
  <c r="W978" i="6"/>
  <c r="X978" i="6"/>
  <c r="U979" i="6"/>
  <c r="V979" i="6"/>
  <c r="W979" i="6"/>
  <c r="X979" i="6"/>
  <c r="U980" i="6"/>
  <c r="V980" i="6"/>
  <c r="W980" i="6"/>
  <c r="X980" i="6"/>
  <c r="U981" i="6"/>
  <c r="V981" i="6"/>
  <c r="W981" i="6"/>
  <c r="X981" i="6"/>
  <c r="U982" i="6"/>
  <c r="V982" i="6"/>
  <c r="W982" i="6"/>
  <c r="X982" i="6"/>
  <c r="U983" i="6"/>
  <c r="V983" i="6"/>
  <c r="W983" i="6"/>
  <c r="X983" i="6"/>
  <c r="U884" i="6"/>
  <c r="V884" i="6"/>
  <c r="W884" i="6"/>
  <c r="X884" i="6"/>
  <c r="X987" i="6"/>
  <c r="X988" i="6"/>
  <c r="X989" i="6"/>
  <c r="X990" i="6"/>
  <c r="X991" i="6"/>
  <c r="X992" i="6"/>
  <c r="X993" i="6"/>
  <c r="X994" i="6"/>
  <c r="X995" i="6"/>
  <c r="X996" i="6"/>
  <c r="X997" i="6"/>
  <c r="X998" i="6"/>
  <c r="X999" i="6"/>
  <c r="X1000" i="6"/>
  <c r="X1001" i="6"/>
  <c r="X1002" i="6"/>
  <c r="X1003" i="6"/>
  <c r="X1004" i="6"/>
  <c r="X1005" i="6"/>
  <c r="X1006" i="6"/>
  <c r="X1007" i="6"/>
  <c r="X1008" i="6"/>
  <c r="X1009" i="6"/>
  <c r="X1010" i="6"/>
  <c r="X1011" i="6"/>
  <c r="X1012" i="6"/>
  <c r="X1013" i="6"/>
  <c r="X1014" i="6"/>
  <c r="X1015" i="6"/>
  <c r="X1016" i="6"/>
  <c r="X1017" i="6"/>
  <c r="X1018" i="6"/>
  <c r="X1019" i="6"/>
  <c r="X1020" i="6"/>
  <c r="X1021" i="6"/>
  <c r="X1022" i="6"/>
  <c r="X1023" i="6"/>
  <c r="X1024" i="6"/>
  <c r="X1025" i="6"/>
  <c r="X1026" i="6"/>
  <c r="X1027" i="6"/>
  <c r="X1028" i="6"/>
  <c r="X1029" i="6"/>
  <c r="X1030" i="6"/>
  <c r="X1031" i="6"/>
  <c r="X1032" i="6"/>
  <c r="X1033" i="6"/>
  <c r="X1034" i="6"/>
  <c r="X1035" i="6"/>
  <c r="X1036" i="6"/>
  <c r="X1037" i="6"/>
  <c r="X1038" i="6"/>
  <c r="X1039" i="6"/>
  <c r="X1040" i="6"/>
  <c r="X1041" i="6"/>
  <c r="X1042" i="6"/>
  <c r="X1043" i="6"/>
  <c r="X1044" i="6"/>
  <c r="X1045" i="6"/>
  <c r="X1046" i="6"/>
  <c r="X1047" i="6"/>
  <c r="X1048" i="6"/>
  <c r="X1049" i="6"/>
  <c r="X1050" i="6"/>
  <c r="X1051" i="6"/>
  <c r="X1052" i="6"/>
  <c r="X1053" i="6"/>
  <c r="X1054" i="6"/>
  <c r="X1055" i="6"/>
  <c r="X1056" i="6"/>
  <c r="X1057" i="6"/>
  <c r="X1058" i="6"/>
  <c r="X1059" i="6"/>
  <c r="X1060" i="6"/>
  <c r="X1061" i="6"/>
  <c r="X1062" i="6"/>
  <c r="X1063" i="6"/>
  <c r="X1064" i="6"/>
  <c r="X1065" i="6"/>
  <c r="X1066" i="6"/>
  <c r="X1067" i="6"/>
  <c r="X1068" i="6"/>
  <c r="X1069" i="6"/>
  <c r="X1070" i="6"/>
  <c r="X1071" i="6"/>
  <c r="X1072" i="6"/>
  <c r="X1073" i="6"/>
  <c r="X1074" i="6"/>
  <c r="X1075" i="6"/>
  <c r="X1076" i="6"/>
  <c r="X1077" i="6"/>
  <c r="X1078" i="6"/>
  <c r="X1079" i="6"/>
  <c r="X1080" i="6"/>
  <c r="X1081" i="6"/>
  <c r="X1082" i="6"/>
  <c r="X1083" i="6"/>
  <c r="X1084" i="6"/>
  <c r="X1085" i="6"/>
  <c r="X1086" i="6"/>
  <c r="W987" i="6"/>
  <c r="W988" i="6"/>
  <c r="W989" i="6"/>
  <c r="W990" i="6"/>
  <c r="W991" i="6"/>
  <c r="W992" i="6"/>
  <c r="W993" i="6"/>
  <c r="W994" i="6"/>
  <c r="W995" i="6"/>
  <c r="W996" i="6"/>
  <c r="W997" i="6"/>
  <c r="W998" i="6"/>
  <c r="W999" i="6"/>
  <c r="W1000" i="6"/>
  <c r="W1001" i="6"/>
  <c r="W1002" i="6"/>
  <c r="W1003" i="6"/>
  <c r="W1004" i="6"/>
  <c r="W1005" i="6"/>
  <c r="W1006" i="6"/>
  <c r="W1007" i="6"/>
  <c r="W1008" i="6"/>
  <c r="W1009" i="6"/>
  <c r="W1010" i="6"/>
  <c r="W1011" i="6"/>
  <c r="W1012" i="6"/>
  <c r="W1013" i="6"/>
  <c r="W1014" i="6"/>
  <c r="W1015" i="6"/>
  <c r="W1016" i="6"/>
  <c r="W1017" i="6"/>
  <c r="W1018" i="6"/>
  <c r="W1019" i="6"/>
  <c r="W1020" i="6"/>
  <c r="W1021" i="6"/>
  <c r="W1022" i="6"/>
  <c r="W1023" i="6"/>
  <c r="W1024" i="6"/>
  <c r="W1025" i="6"/>
  <c r="W1026" i="6"/>
  <c r="W1027" i="6"/>
  <c r="W1028" i="6"/>
  <c r="W1029" i="6"/>
  <c r="W1030" i="6"/>
  <c r="W1031" i="6"/>
  <c r="W1032" i="6"/>
  <c r="W1033" i="6"/>
  <c r="W1034" i="6"/>
  <c r="W1035" i="6"/>
  <c r="W1036" i="6"/>
  <c r="W1037" i="6"/>
  <c r="W1038" i="6"/>
  <c r="W1039" i="6"/>
  <c r="W1040" i="6"/>
  <c r="W1041" i="6"/>
  <c r="W1042" i="6"/>
  <c r="W1043" i="6"/>
  <c r="W1044" i="6"/>
  <c r="W1045" i="6"/>
  <c r="W1046" i="6"/>
  <c r="W1047" i="6"/>
  <c r="W1048" i="6"/>
  <c r="W1049" i="6"/>
  <c r="W1050" i="6"/>
  <c r="W1051" i="6"/>
  <c r="W1052" i="6"/>
  <c r="W1053" i="6"/>
  <c r="W1054" i="6"/>
  <c r="W1055" i="6"/>
  <c r="W1056" i="6"/>
  <c r="W1057" i="6"/>
  <c r="W1058" i="6"/>
  <c r="W1059" i="6"/>
  <c r="W1060" i="6"/>
  <c r="W1061" i="6"/>
  <c r="W1062" i="6"/>
  <c r="W1063" i="6"/>
  <c r="W1064" i="6"/>
  <c r="W1065" i="6"/>
  <c r="W1066" i="6"/>
  <c r="W1067" i="6"/>
  <c r="W1068" i="6"/>
  <c r="W1069" i="6"/>
  <c r="W1070" i="6"/>
  <c r="W1071" i="6"/>
  <c r="W1072" i="6"/>
  <c r="W1073" i="6"/>
  <c r="W1074" i="6"/>
  <c r="W1075" i="6"/>
  <c r="W1076" i="6"/>
  <c r="W1077" i="6"/>
  <c r="W1078" i="6"/>
  <c r="W1079" i="6"/>
  <c r="W1080" i="6"/>
  <c r="W1081" i="6"/>
  <c r="W1082" i="6"/>
  <c r="W1083" i="6"/>
  <c r="W1084" i="6"/>
  <c r="W1085" i="6"/>
  <c r="W1086" i="6"/>
  <c r="V987" i="6"/>
  <c r="V988" i="6"/>
  <c r="V989" i="6"/>
  <c r="V990" i="6"/>
  <c r="V991" i="6"/>
  <c r="V992" i="6"/>
  <c r="V993" i="6"/>
  <c r="V994" i="6"/>
  <c r="V995" i="6"/>
  <c r="V996" i="6"/>
  <c r="V997" i="6"/>
  <c r="V998" i="6"/>
  <c r="V999" i="6"/>
  <c r="V1000" i="6"/>
  <c r="V1001" i="6"/>
  <c r="V1002" i="6"/>
  <c r="V1003" i="6"/>
  <c r="V1004" i="6"/>
  <c r="V1005" i="6"/>
  <c r="V1006" i="6"/>
  <c r="V1007" i="6"/>
  <c r="V1008" i="6"/>
  <c r="V1009" i="6"/>
  <c r="V1010" i="6"/>
  <c r="V1011" i="6"/>
  <c r="V1012" i="6"/>
  <c r="V1013" i="6"/>
  <c r="V1014" i="6"/>
  <c r="V1015" i="6"/>
  <c r="V1016" i="6"/>
  <c r="V1017" i="6"/>
  <c r="V1018" i="6"/>
  <c r="V1019" i="6"/>
  <c r="V1020" i="6"/>
  <c r="V1021" i="6"/>
  <c r="V1022" i="6"/>
  <c r="V1023" i="6"/>
  <c r="V1024" i="6"/>
  <c r="V1025" i="6"/>
  <c r="V1026" i="6"/>
  <c r="V1027" i="6"/>
  <c r="V1028" i="6"/>
  <c r="V1029" i="6"/>
  <c r="V1030" i="6"/>
  <c r="V1031" i="6"/>
  <c r="V1032" i="6"/>
  <c r="V1033" i="6"/>
  <c r="V1034" i="6"/>
  <c r="V1035" i="6"/>
  <c r="V1036" i="6"/>
  <c r="V1037" i="6"/>
  <c r="V1038" i="6"/>
  <c r="V1039" i="6"/>
  <c r="V1040" i="6"/>
  <c r="V1041" i="6"/>
  <c r="V1042" i="6"/>
  <c r="V1043" i="6"/>
  <c r="V1044" i="6"/>
  <c r="V1045" i="6"/>
  <c r="V1046" i="6"/>
  <c r="V1047" i="6"/>
  <c r="V1048" i="6"/>
  <c r="V1049" i="6"/>
  <c r="V1050" i="6"/>
  <c r="V1051" i="6"/>
  <c r="V1052" i="6"/>
  <c r="V1053" i="6"/>
  <c r="V1054" i="6"/>
  <c r="V1055" i="6"/>
  <c r="V1056" i="6"/>
  <c r="V1057" i="6"/>
  <c r="V1058" i="6"/>
  <c r="V1059" i="6"/>
  <c r="V1060" i="6"/>
  <c r="V1061" i="6"/>
  <c r="V1062" i="6"/>
  <c r="V1063" i="6"/>
  <c r="V1064" i="6"/>
  <c r="V1065" i="6"/>
  <c r="V1066" i="6"/>
  <c r="V1067" i="6"/>
  <c r="V1068" i="6"/>
  <c r="V1069" i="6"/>
  <c r="V1070" i="6"/>
  <c r="V1071" i="6"/>
  <c r="V1072" i="6"/>
  <c r="V1073" i="6"/>
  <c r="V1074" i="6"/>
  <c r="V1075" i="6"/>
  <c r="V1076" i="6"/>
  <c r="V1077" i="6"/>
  <c r="V1078" i="6"/>
  <c r="V1079" i="6"/>
  <c r="V1080" i="6"/>
  <c r="V1081" i="6"/>
  <c r="V1082" i="6"/>
  <c r="V1083" i="6"/>
  <c r="V1084" i="6"/>
  <c r="V1085" i="6"/>
  <c r="V1086" i="6"/>
  <c r="U987" i="6"/>
  <c r="U988" i="6"/>
  <c r="U989" i="6"/>
  <c r="U990" i="6"/>
  <c r="U991" i="6"/>
  <c r="U992" i="6"/>
  <c r="U993" i="6"/>
  <c r="U994" i="6"/>
  <c r="U995" i="6"/>
  <c r="U996" i="6"/>
  <c r="U997" i="6"/>
  <c r="U998" i="6"/>
  <c r="U999" i="6"/>
  <c r="U1000" i="6"/>
  <c r="U1001" i="6"/>
  <c r="U1002" i="6"/>
  <c r="U1003" i="6"/>
  <c r="U1004" i="6"/>
  <c r="U1005" i="6"/>
  <c r="U1006" i="6"/>
  <c r="U1007" i="6"/>
  <c r="U1008" i="6"/>
  <c r="U1009" i="6"/>
  <c r="U1010" i="6"/>
  <c r="U1011" i="6"/>
  <c r="U1012" i="6"/>
  <c r="U1013" i="6"/>
  <c r="U1014" i="6"/>
  <c r="U1015" i="6"/>
  <c r="U1016" i="6"/>
  <c r="U1017" i="6"/>
  <c r="U1018" i="6"/>
  <c r="U1019" i="6"/>
  <c r="U1020" i="6"/>
  <c r="U1021" i="6"/>
  <c r="U1022" i="6"/>
  <c r="U1023" i="6"/>
  <c r="U1024" i="6"/>
  <c r="U1025" i="6"/>
  <c r="U1026" i="6"/>
  <c r="U1027" i="6"/>
  <c r="U1028" i="6"/>
  <c r="U1029" i="6"/>
  <c r="U1030" i="6"/>
  <c r="U1031" i="6"/>
  <c r="U1032" i="6"/>
  <c r="U1033" i="6"/>
  <c r="U1034" i="6"/>
  <c r="U1035" i="6"/>
  <c r="U1036" i="6"/>
  <c r="U1037" i="6"/>
  <c r="U1038" i="6"/>
  <c r="U1039" i="6"/>
  <c r="U1040" i="6"/>
  <c r="U1041" i="6"/>
  <c r="U1042" i="6"/>
  <c r="U1043" i="6"/>
  <c r="U1044" i="6"/>
  <c r="U1045" i="6"/>
  <c r="U1046" i="6"/>
  <c r="U1047" i="6"/>
  <c r="U1048" i="6"/>
  <c r="U1049" i="6"/>
  <c r="U1050" i="6"/>
  <c r="U1051" i="6"/>
  <c r="U1052" i="6"/>
  <c r="U1053" i="6"/>
  <c r="U1054" i="6"/>
  <c r="U1055" i="6"/>
  <c r="U1056" i="6"/>
  <c r="U1057" i="6"/>
  <c r="U1058" i="6"/>
  <c r="U1059" i="6"/>
  <c r="U1060" i="6"/>
  <c r="U1061" i="6"/>
  <c r="U1062" i="6"/>
  <c r="U1063" i="6"/>
  <c r="U1064" i="6"/>
  <c r="U1065" i="6"/>
  <c r="U1066" i="6"/>
  <c r="U1067" i="6"/>
  <c r="U1068" i="6"/>
  <c r="U1069" i="6"/>
  <c r="U1070" i="6"/>
  <c r="U1071" i="6"/>
  <c r="U1072" i="6"/>
  <c r="U1073" i="6"/>
  <c r="U1074" i="6"/>
  <c r="U1075" i="6"/>
  <c r="U1076" i="6"/>
  <c r="U1077" i="6"/>
  <c r="U1078" i="6"/>
  <c r="U1079" i="6"/>
  <c r="U1080" i="6"/>
  <c r="U1081" i="6"/>
  <c r="U1082" i="6"/>
  <c r="U1083" i="6"/>
  <c r="U1084" i="6"/>
  <c r="U1085" i="6"/>
  <c r="U1086" i="6"/>
  <c r="X3" i="6"/>
  <c r="X4" i="6"/>
  <c r="X5" i="6"/>
  <c r="X6" i="6"/>
  <c r="X7" i="6"/>
  <c r="X8" i="6"/>
  <c r="X9" i="6"/>
  <c r="X10" i="6"/>
  <c r="X11" i="6"/>
  <c r="X12" i="6"/>
  <c r="X13" i="6"/>
  <c r="X14" i="6"/>
  <c r="X15" i="6"/>
  <c r="X16" i="6"/>
  <c r="X17" i="6"/>
  <c r="X18" i="6"/>
  <c r="X19" i="6"/>
  <c r="X20" i="6"/>
  <c r="X21" i="6"/>
  <c r="X22" i="6"/>
  <c r="X23" i="6"/>
  <c r="X24" i="6"/>
  <c r="X25" i="6"/>
  <c r="X26" i="6"/>
  <c r="X27" i="6"/>
  <c r="X28" i="6"/>
  <c r="X29" i="6"/>
  <c r="X30" i="6"/>
  <c r="X31" i="6"/>
  <c r="X32" i="6"/>
  <c r="X33" i="6"/>
  <c r="X34" i="6"/>
  <c r="X35" i="6"/>
  <c r="X36" i="6"/>
  <c r="X37" i="6"/>
  <c r="X38" i="6"/>
  <c r="X39" i="6"/>
  <c r="X40" i="6"/>
  <c r="X41" i="6"/>
  <c r="X42" i="6"/>
  <c r="X43" i="6"/>
  <c r="X44" i="6"/>
  <c r="X45" i="6"/>
  <c r="X46" i="6"/>
  <c r="X47" i="6"/>
  <c r="X48" i="6"/>
  <c r="X49" i="6"/>
  <c r="X50" i="6"/>
  <c r="X51" i="6"/>
  <c r="X52" i="6"/>
  <c r="X53" i="6"/>
  <c r="X54" i="6"/>
  <c r="X55" i="6"/>
  <c r="X56" i="6"/>
  <c r="X57" i="6"/>
  <c r="X58" i="6"/>
  <c r="X59" i="6"/>
  <c r="X60" i="6"/>
  <c r="X61" i="6"/>
  <c r="X62" i="6"/>
  <c r="X63" i="6"/>
  <c r="X64" i="6"/>
  <c r="X65" i="6"/>
  <c r="X66" i="6"/>
  <c r="X67" i="6"/>
  <c r="X68" i="6"/>
  <c r="X69" i="6"/>
  <c r="X70" i="6"/>
  <c r="X71" i="6"/>
  <c r="X72" i="6"/>
  <c r="X73" i="6"/>
  <c r="X74" i="6"/>
  <c r="X75" i="6"/>
  <c r="X76" i="6"/>
  <c r="X77" i="6"/>
  <c r="X78" i="6"/>
  <c r="X79" i="6"/>
  <c r="X80" i="6"/>
  <c r="X81" i="6"/>
  <c r="X82" i="6"/>
  <c r="X83" i="6"/>
  <c r="X84" i="6"/>
  <c r="X85" i="6"/>
  <c r="X86" i="6"/>
  <c r="X87" i="6"/>
  <c r="X88" i="6"/>
  <c r="X89" i="6"/>
  <c r="X90" i="6"/>
  <c r="X91" i="6"/>
  <c r="X92" i="6"/>
  <c r="X93" i="6"/>
  <c r="X94" i="6"/>
  <c r="X95" i="6"/>
  <c r="X96" i="6"/>
  <c r="X97" i="6"/>
  <c r="X98" i="6"/>
  <c r="X99" i="6"/>
  <c r="X100" i="6"/>
  <c r="X101" i="6"/>
  <c r="X102" i="6"/>
  <c r="X103" i="6"/>
  <c r="X104" i="6"/>
  <c r="X105" i="6"/>
  <c r="X106" i="6"/>
  <c r="X107" i="6"/>
  <c r="X108" i="6"/>
  <c r="X109" i="6"/>
  <c r="X110" i="6"/>
  <c r="X111" i="6"/>
  <c r="X112" i="6"/>
  <c r="X113" i="6"/>
  <c r="X114" i="6"/>
  <c r="X115" i="6"/>
  <c r="X116" i="6"/>
  <c r="X117" i="6"/>
  <c r="X118" i="6"/>
  <c r="X119" i="6"/>
  <c r="X120" i="6"/>
  <c r="X121" i="6"/>
  <c r="X122" i="6"/>
  <c r="X123" i="6"/>
  <c r="X124" i="6"/>
  <c r="X125" i="6"/>
  <c r="X126" i="6"/>
  <c r="X127" i="6"/>
  <c r="X128" i="6"/>
  <c r="X129" i="6"/>
  <c r="X130" i="6"/>
  <c r="X131" i="6"/>
  <c r="X132" i="6"/>
  <c r="X133" i="6"/>
  <c r="X134" i="6"/>
  <c r="X135" i="6"/>
  <c r="X136" i="6"/>
  <c r="X137" i="6"/>
  <c r="X138" i="6"/>
  <c r="X139" i="6"/>
  <c r="X140" i="6"/>
  <c r="X141" i="6"/>
  <c r="X142" i="6"/>
  <c r="X143" i="6"/>
  <c r="X144" i="6"/>
  <c r="X145" i="6"/>
  <c r="X146" i="6"/>
  <c r="X147" i="6"/>
  <c r="X148" i="6"/>
  <c r="X149" i="6"/>
  <c r="X150" i="6"/>
  <c r="X151" i="6"/>
  <c r="X152" i="6"/>
  <c r="X153" i="6"/>
  <c r="X154" i="6"/>
  <c r="X155" i="6"/>
  <c r="X156" i="6"/>
  <c r="X157" i="6"/>
  <c r="X158" i="6"/>
  <c r="X159" i="6"/>
  <c r="X160" i="6"/>
  <c r="X161" i="6"/>
  <c r="X162" i="6"/>
  <c r="X163" i="6"/>
  <c r="X164" i="6"/>
  <c r="X165" i="6"/>
  <c r="X166" i="6"/>
  <c r="X167" i="6"/>
  <c r="X168" i="6"/>
  <c r="X169" i="6"/>
  <c r="X170" i="6"/>
  <c r="X171" i="6"/>
  <c r="X172" i="6"/>
  <c r="X173" i="6"/>
  <c r="W3" i="6"/>
  <c r="W4" i="6"/>
  <c r="W5" i="6"/>
  <c r="W6" i="6"/>
  <c r="W7" i="6"/>
  <c r="W8" i="6"/>
  <c r="W9" i="6"/>
  <c r="W10" i="6"/>
  <c r="W11" i="6"/>
  <c r="W12" i="6"/>
  <c r="W13" i="6"/>
  <c r="W14" i="6"/>
  <c r="W15" i="6"/>
  <c r="W16" i="6"/>
  <c r="W17" i="6"/>
  <c r="W18" i="6"/>
  <c r="W19" i="6"/>
  <c r="W20" i="6"/>
  <c r="W21" i="6"/>
  <c r="W22" i="6"/>
  <c r="W23" i="6"/>
  <c r="W24" i="6"/>
  <c r="W25" i="6"/>
  <c r="W26" i="6"/>
  <c r="W27" i="6"/>
  <c r="W28" i="6"/>
  <c r="W29" i="6"/>
  <c r="W30" i="6"/>
  <c r="W31" i="6"/>
  <c r="W32" i="6"/>
  <c r="W33" i="6"/>
  <c r="W34" i="6"/>
  <c r="W35" i="6"/>
  <c r="W36" i="6"/>
  <c r="W37" i="6"/>
  <c r="W38" i="6"/>
  <c r="W39" i="6"/>
  <c r="W40" i="6"/>
  <c r="W41" i="6"/>
  <c r="W42" i="6"/>
  <c r="W43" i="6"/>
  <c r="W44" i="6"/>
  <c r="W45" i="6"/>
  <c r="W46" i="6"/>
  <c r="W47" i="6"/>
  <c r="W48" i="6"/>
  <c r="W49" i="6"/>
  <c r="W50" i="6"/>
  <c r="W51" i="6"/>
  <c r="W52" i="6"/>
  <c r="W53" i="6"/>
  <c r="W54" i="6"/>
  <c r="W55" i="6"/>
  <c r="W56" i="6"/>
  <c r="W57" i="6"/>
  <c r="W58" i="6"/>
  <c r="W59" i="6"/>
  <c r="W60" i="6"/>
  <c r="W61" i="6"/>
  <c r="W62" i="6"/>
  <c r="W63" i="6"/>
  <c r="W64" i="6"/>
  <c r="W65" i="6"/>
  <c r="W66" i="6"/>
  <c r="W67" i="6"/>
  <c r="W68" i="6"/>
  <c r="W69" i="6"/>
  <c r="W70" i="6"/>
  <c r="W71" i="6"/>
  <c r="W72" i="6"/>
  <c r="W73" i="6"/>
  <c r="W74" i="6"/>
  <c r="W75" i="6"/>
  <c r="W76" i="6"/>
  <c r="W77" i="6"/>
  <c r="W78" i="6"/>
  <c r="W79" i="6"/>
  <c r="W80" i="6"/>
  <c r="W81" i="6"/>
  <c r="W82" i="6"/>
  <c r="W83" i="6"/>
  <c r="W84" i="6"/>
  <c r="W85" i="6"/>
  <c r="W86" i="6"/>
  <c r="W87" i="6"/>
  <c r="W88" i="6"/>
  <c r="W89" i="6"/>
  <c r="W90" i="6"/>
  <c r="W91" i="6"/>
  <c r="W92" i="6"/>
  <c r="W93" i="6"/>
  <c r="W94" i="6"/>
  <c r="W95" i="6"/>
  <c r="W96" i="6"/>
  <c r="W97" i="6"/>
  <c r="W98" i="6"/>
  <c r="W99" i="6"/>
  <c r="W100" i="6"/>
  <c r="W101" i="6"/>
  <c r="W102" i="6"/>
  <c r="W103" i="6"/>
  <c r="W104" i="6"/>
  <c r="W105" i="6"/>
  <c r="W106" i="6"/>
  <c r="W107" i="6"/>
  <c r="W108" i="6"/>
  <c r="W109" i="6"/>
  <c r="W110" i="6"/>
  <c r="W111" i="6"/>
  <c r="W112" i="6"/>
  <c r="W113" i="6"/>
  <c r="W114" i="6"/>
  <c r="W115" i="6"/>
  <c r="W116" i="6"/>
  <c r="W117" i="6"/>
  <c r="W118" i="6"/>
  <c r="W119" i="6"/>
  <c r="W120" i="6"/>
  <c r="W121" i="6"/>
  <c r="W122" i="6"/>
  <c r="W123" i="6"/>
  <c r="W124" i="6"/>
  <c r="W125" i="6"/>
  <c r="W126" i="6"/>
  <c r="W127" i="6"/>
  <c r="W128" i="6"/>
  <c r="W129" i="6"/>
  <c r="W130" i="6"/>
  <c r="W131" i="6"/>
  <c r="W132" i="6"/>
  <c r="W133" i="6"/>
  <c r="W134" i="6"/>
  <c r="W135" i="6"/>
  <c r="W136" i="6"/>
  <c r="W137" i="6"/>
  <c r="W138" i="6"/>
  <c r="W139" i="6"/>
  <c r="W140" i="6"/>
  <c r="W141" i="6"/>
  <c r="W142" i="6"/>
  <c r="W143" i="6"/>
  <c r="W144" i="6"/>
  <c r="W145" i="6"/>
  <c r="W146" i="6"/>
  <c r="W147" i="6"/>
  <c r="W148" i="6"/>
  <c r="W149" i="6"/>
  <c r="W150" i="6"/>
  <c r="W151" i="6"/>
  <c r="W152" i="6"/>
  <c r="W153" i="6"/>
  <c r="W154" i="6"/>
  <c r="W155" i="6"/>
  <c r="W156" i="6"/>
  <c r="W157" i="6"/>
  <c r="W158" i="6"/>
  <c r="W159" i="6"/>
  <c r="W160" i="6"/>
  <c r="W161" i="6"/>
  <c r="W162" i="6"/>
  <c r="W163" i="6"/>
  <c r="W164" i="6"/>
  <c r="W165" i="6"/>
  <c r="W166" i="6"/>
  <c r="W167" i="6"/>
  <c r="W168" i="6"/>
  <c r="W169" i="6"/>
  <c r="W170" i="6"/>
  <c r="W171" i="6"/>
  <c r="W172" i="6"/>
  <c r="W173" i="6"/>
  <c r="V3" i="6"/>
  <c r="V4" i="6"/>
  <c r="V5" i="6"/>
  <c r="V6" i="6"/>
  <c r="V7" i="6"/>
  <c r="V8" i="6"/>
  <c r="V9" i="6"/>
  <c r="V10" i="6"/>
  <c r="V11" i="6"/>
  <c r="V12" i="6"/>
  <c r="V13" i="6"/>
  <c r="V14" i="6"/>
  <c r="V15" i="6"/>
  <c r="V16" i="6"/>
  <c r="V17" i="6"/>
  <c r="V18" i="6"/>
  <c r="V19" i="6"/>
  <c r="V20" i="6"/>
  <c r="V21" i="6"/>
  <c r="V22" i="6"/>
  <c r="V23" i="6"/>
  <c r="V24" i="6"/>
  <c r="V25" i="6"/>
  <c r="V26" i="6"/>
  <c r="V27" i="6"/>
  <c r="V28" i="6"/>
  <c r="V29" i="6"/>
  <c r="V30" i="6"/>
  <c r="V31" i="6"/>
  <c r="V32" i="6"/>
  <c r="V33" i="6"/>
  <c r="V34" i="6"/>
  <c r="V35" i="6"/>
  <c r="V36" i="6"/>
  <c r="V37" i="6"/>
  <c r="V38" i="6"/>
  <c r="V39" i="6"/>
  <c r="V40" i="6"/>
  <c r="V41" i="6"/>
  <c r="V42" i="6"/>
  <c r="V43" i="6"/>
  <c r="V44" i="6"/>
  <c r="V45" i="6"/>
  <c r="V46" i="6"/>
  <c r="V47" i="6"/>
  <c r="V48" i="6"/>
  <c r="V49" i="6"/>
  <c r="V50" i="6"/>
  <c r="V51" i="6"/>
  <c r="V52" i="6"/>
  <c r="V53" i="6"/>
  <c r="V54" i="6"/>
  <c r="V55" i="6"/>
  <c r="V56" i="6"/>
  <c r="V57" i="6"/>
  <c r="V58" i="6"/>
  <c r="V59" i="6"/>
  <c r="V60" i="6"/>
  <c r="V61" i="6"/>
  <c r="V62" i="6"/>
  <c r="V63" i="6"/>
  <c r="V64" i="6"/>
  <c r="V65" i="6"/>
  <c r="V66" i="6"/>
  <c r="V67" i="6"/>
  <c r="V68" i="6"/>
  <c r="V69" i="6"/>
  <c r="V70" i="6"/>
  <c r="V71" i="6"/>
  <c r="V72" i="6"/>
  <c r="V73" i="6"/>
  <c r="V74" i="6"/>
  <c r="V75" i="6"/>
  <c r="V76" i="6"/>
  <c r="V77" i="6"/>
  <c r="V78" i="6"/>
  <c r="V79" i="6"/>
  <c r="V80" i="6"/>
  <c r="V81" i="6"/>
  <c r="V82" i="6"/>
  <c r="V83" i="6"/>
  <c r="V84" i="6"/>
  <c r="V85" i="6"/>
  <c r="V86" i="6"/>
  <c r="V87" i="6"/>
  <c r="V88" i="6"/>
  <c r="V89" i="6"/>
  <c r="V90" i="6"/>
  <c r="V91" i="6"/>
  <c r="V92" i="6"/>
  <c r="V93" i="6"/>
  <c r="V94" i="6"/>
  <c r="V95" i="6"/>
  <c r="V96" i="6"/>
  <c r="V97" i="6"/>
  <c r="V98" i="6"/>
  <c r="V99" i="6"/>
  <c r="V100" i="6"/>
  <c r="V101" i="6"/>
  <c r="V102" i="6"/>
  <c r="V103" i="6"/>
  <c r="V104" i="6"/>
  <c r="V105" i="6"/>
  <c r="V106" i="6"/>
  <c r="V107" i="6"/>
  <c r="V108" i="6"/>
  <c r="V109" i="6"/>
  <c r="V110" i="6"/>
  <c r="V111" i="6"/>
  <c r="V112" i="6"/>
  <c r="V113" i="6"/>
  <c r="V114" i="6"/>
  <c r="V115" i="6"/>
  <c r="V116" i="6"/>
  <c r="V117" i="6"/>
  <c r="V118" i="6"/>
  <c r="V119" i="6"/>
  <c r="V120" i="6"/>
  <c r="V121" i="6"/>
  <c r="V122" i="6"/>
  <c r="V123" i="6"/>
  <c r="V124" i="6"/>
  <c r="V125" i="6"/>
  <c r="V126" i="6"/>
  <c r="V127" i="6"/>
  <c r="V128" i="6"/>
  <c r="V129" i="6"/>
  <c r="V130" i="6"/>
  <c r="V131" i="6"/>
  <c r="V132" i="6"/>
  <c r="V133" i="6"/>
  <c r="V134" i="6"/>
  <c r="V135" i="6"/>
  <c r="V136" i="6"/>
  <c r="V137" i="6"/>
  <c r="V138" i="6"/>
  <c r="V139" i="6"/>
  <c r="V140" i="6"/>
  <c r="V141" i="6"/>
  <c r="V142" i="6"/>
  <c r="V143" i="6"/>
  <c r="V144" i="6"/>
  <c r="V145" i="6"/>
  <c r="V146" i="6"/>
  <c r="V147" i="6"/>
  <c r="V148" i="6"/>
  <c r="V149" i="6"/>
  <c r="V150" i="6"/>
  <c r="V151" i="6"/>
  <c r="V152" i="6"/>
  <c r="V153" i="6"/>
  <c r="V154" i="6"/>
  <c r="V155" i="6"/>
  <c r="V156" i="6"/>
  <c r="V157" i="6"/>
  <c r="V158" i="6"/>
  <c r="V159" i="6"/>
  <c r="V160" i="6"/>
  <c r="V161" i="6"/>
  <c r="V162" i="6"/>
  <c r="V163" i="6"/>
  <c r="V164" i="6"/>
  <c r="V165" i="6"/>
  <c r="V166" i="6"/>
  <c r="V167" i="6"/>
  <c r="V168" i="6"/>
  <c r="V169" i="6"/>
  <c r="V170" i="6"/>
  <c r="V171" i="6"/>
  <c r="V172" i="6"/>
  <c r="V173" i="6"/>
  <c r="U3" i="6"/>
  <c r="U4" i="6"/>
  <c r="U5" i="6"/>
  <c r="U6" i="6"/>
  <c r="U7" i="6"/>
  <c r="U8" i="6"/>
  <c r="U9" i="6"/>
  <c r="U10" i="6"/>
  <c r="U11" i="6"/>
  <c r="U12" i="6"/>
  <c r="U13" i="6"/>
  <c r="U14" i="6"/>
  <c r="U15" i="6"/>
  <c r="U16" i="6"/>
  <c r="U17" i="6"/>
  <c r="U18" i="6"/>
  <c r="U19" i="6"/>
  <c r="U20" i="6"/>
  <c r="U21" i="6"/>
  <c r="U22" i="6"/>
  <c r="U23" i="6"/>
  <c r="U24" i="6"/>
  <c r="U25" i="6"/>
  <c r="U26" i="6"/>
  <c r="U27" i="6"/>
  <c r="U28" i="6"/>
  <c r="U29" i="6"/>
  <c r="U30" i="6"/>
  <c r="U31" i="6"/>
  <c r="U32" i="6"/>
  <c r="U33" i="6"/>
  <c r="U34" i="6"/>
  <c r="U35" i="6"/>
  <c r="U36" i="6"/>
  <c r="U37" i="6"/>
  <c r="U38" i="6"/>
  <c r="U39" i="6"/>
  <c r="U40" i="6"/>
  <c r="U41" i="6"/>
  <c r="U42" i="6"/>
  <c r="U43" i="6"/>
  <c r="U44" i="6"/>
  <c r="U45" i="6"/>
  <c r="U46" i="6"/>
  <c r="U47" i="6"/>
  <c r="U48" i="6"/>
  <c r="U49" i="6"/>
  <c r="U50" i="6"/>
  <c r="U51" i="6"/>
  <c r="U52" i="6"/>
  <c r="U53" i="6"/>
  <c r="U54" i="6"/>
  <c r="U55" i="6"/>
  <c r="U56" i="6"/>
  <c r="U57" i="6"/>
  <c r="U58" i="6"/>
  <c r="U59" i="6"/>
  <c r="U60" i="6"/>
  <c r="U61" i="6"/>
  <c r="U62" i="6"/>
  <c r="U63" i="6"/>
  <c r="U64" i="6"/>
  <c r="U65" i="6"/>
  <c r="U66" i="6"/>
  <c r="U67" i="6"/>
  <c r="U68" i="6"/>
  <c r="U69" i="6"/>
  <c r="U70" i="6"/>
  <c r="U71" i="6"/>
  <c r="U72" i="6"/>
  <c r="U73" i="6"/>
  <c r="U74" i="6"/>
  <c r="U75" i="6"/>
  <c r="U76" i="6"/>
  <c r="U77" i="6"/>
  <c r="U78" i="6"/>
  <c r="U79" i="6"/>
  <c r="U80" i="6"/>
  <c r="U81" i="6"/>
  <c r="U82" i="6"/>
  <c r="U83" i="6"/>
  <c r="U84" i="6"/>
  <c r="U85" i="6"/>
  <c r="U86" i="6"/>
  <c r="U87" i="6"/>
  <c r="U88" i="6"/>
  <c r="U89" i="6"/>
  <c r="U90" i="6"/>
  <c r="U91" i="6"/>
  <c r="U92" i="6"/>
  <c r="U93" i="6"/>
  <c r="U94" i="6"/>
  <c r="U95" i="6"/>
  <c r="U96" i="6"/>
  <c r="U97" i="6"/>
  <c r="U98" i="6"/>
  <c r="U99" i="6"/>
  <c r="U100" i="6"/>
  <c r="U101" i="6"/>
  <c r="U102" i="6"/>
  <c r="U103" i="6"/>
  <c r="U104" i="6"/>
  <c r="U105" i="6"/>
  <c r="U106" i="6"/>
  <c r="U107" i="6"/>
  <c r="U108" i="6"/>
  <c r="U109" i="6"/>
  <c r="U110" i="6"/>
  <c r="U111" i="6"/>
  <c r="U112" i="6"/>
  <c r="U113" i="6"/>
  <c r="U114" i="6"/>
  <c r="U115" i="6"/>
  <c r="U116" i="6"/>
  <c r="U117" i="6"/>
  <c r="U118" i="6"/>
  <c r="U119" i="6"/>
  <c r="U120" i="6"/>
  <c r="U121" i="6"/>
  <c r="U122" i="6"/>
  <c r="U123" i="6"/>
  <c r="U124" i="6"/>
  <c r="U125" i="6"/>
  <c r="U126" i="6"/>
  <c r="U127" i="6"/>
  <c r="U128" i="6"/>
  <c r="U129" i="6"/>
  <c r="U130" i="6"/>
  <c r="U131" i="6"/>
  <c r="U132" i="6"/>
  <c r="U133" i="6"/>
  <c r="U134" i="6"/>
  <c r="U135" i="6"/>
  <c r="U136" i="6"/>
  <c r="U137" i="6"/>
  <c r="U138" i="6"/>
  <c r="U139" i="6"/>
  <c r="U140" i="6"/>
  <c r="U141" i="6"/>
  <c r="U142" i="6"/>
  <c r="U143" i="6"/>
  <c r="U144" i="6"/>
  <c r="U145" i="6"/>
  <c r="U146" i="6"/>
  <c r="U147" i="6"/>
  <c r="U148" i="6"/>
  <c r="U149" i="6"/>
  <c r="U150" i="6"/>
  <c r="U151" i="6"/>
  <c r="U152" i="6"/>
  <c r="U153" i="6"/>
  <c r="U154" i="6"/>
  <c r="U155" i="6"/>
  <c r="U156" i="6"/>
  <c r="U157" i="6"/>
  <c r="U158" i="6"/>
  <c r="U159" i="6"/>
  <c r="U160" i="6"/>
  <c r="U161" i="6"/>
  <c r="U162" i="6"/>
  <c r="U163" i="6"/>
  <c r="U164" i="6"/>
  <c r="U165" i="6"/>
  <c r="U166" i="6"/>
  <c r="U167" i="6"/>
  <c r="U168" i="6"/>
  <c r="U169" i="6"/>
  <c r="U170" i="6"/>
  <c r="U171" i="6"/>
  <c r="U172" i="6"/>
  <c r="U173" i="6"/>
  <c r="AD212" i="6"/>
  <c r="Z212" i="6"/>
  <c r="Y212" i="6"/>
  <c r="AE212" i="6"/>
  <c r="AF212" i="6"/>
  <c r="Z203" i="6"/>
  <c r="AA203" i="6"/>
  <c r="Z202" i="6"/>
  <c r="Y203" i="6"/>
  <c r="Y202" i="6"/>
  <c r="Y201" i="6"/>
  <c r="AB202" i="6"/>
  <c r="AB201" i="6"/>
  <c r="AA201" i="6"/>
  <c r="AB200" i="6"/>
  <c r="AA200" i="6"/>
  <c r="AC3" i="6"/>
  <c r="AC4" i="6"/>
  <c r="AC5" i="6"/>
  <c r="AC6" i="6"/>
  <c r="AC7" i="6"/>
  <c r="AC8" i="6"/>
  <c r="AC9" i="6"/>
  <c r="AC10" i="6"/>
  <c r="AC11" i="6"/>
  <c r="AC12" i="6"/>
  <c r="AC13" i="6"/>
  <c r="AC14" i="6"/>
  <c r="AC15" i="6"/>
  <c r="AC16" i="6"/>
  <c r="AC17" i="6"/>
  <c r="AC18" i="6"/>
  <c r="AC19" i="6"/>
  <c r="AC20" i="6"/>
  <c r="AC21" i="6"/>
  <c r="AC22" i="6"/>
  <c r="AC23" i="6"/>
  <c r="AC24" i="6"/>
  <c r="AC25" i="6"/>
  <c r="AC26" i="6"/>
  <c r="AC27" i="6"/>
  <c r="AC28" i="6"/>
  <c r="AC29" i="6"/>
  <c r="AC30" i="6"/>
  <c r="AC31" i="6"/>
  <c r="AC32" i="6"/>
  <c r="AC33" i="6"/>
  <c r="AC34" i="6"/>
  <c r="AC35" i="6"/>
  <c r="AC36" i="6"/>
  <c r="AC37" i="6"/>
  <c r="AC38" i="6"/>
  <c r="AC39" i="6"/>
  <c r="AC40" i="6"/>
  <c r="AC41" i="6"/>
  <c r="AC42" i="6"/>
  <c r="AC43" i="6"/>
  <c r="AC44" i="6"/>
  <c r="AC45" i="6"/>
  <c r="AC46" i="6"/>
  <c r="AC47" i="6"/>
  <c r="AC48" i="6"/>
  <c r="AC49" i="6"/>
  <c r="AC50" i="6"/>
  <c r="AC51" i="6"/>
  <c r="AC52" i="6"/>
  <c r="AC53" i="6"/>
  <c r="AC54" i="6"/>
  <c r="AC55" i="6"/>
  <c r="AC56" i="6"/>
  <c r="AC57" i="6"/>
  <c r="AC58" i="6"/>
  <c r="AC59" i="6"/>
  <c r="AC60" i="6"/>
  <c r="AC61" i="6"/>
  <c r="AC62" i="6"/>
  <c r="AC63" i="6"/>
  <c r="AC64" i="6"/>
  <c r="AC65" i="6"/>
  <c r="AC66" i="6"/>
  <c r="AC67" i="6"/>
  <c r="AC68" i="6"/>
  <c r="AC69" i="6"/>
  <c r="AC70" i="6"/>
  <c r="AC71" i="6"/>
  <c r="AC72" i="6"/>
  <c r="AC73" i="6"/>
  <c r="AC74" i="6"/>
  <c r="AC75" i="6"/>
  <c r="AC76" i="6"/>
  <c r="AC77" i="6"/>
  <c r="AC78" i="6"/>
  <c r="AC79" i="6"/>
  <c r="AC80" i="6"/>
  <c r="AC81" i="6"/>
  <c r="AC82" i="6"/>
  <c r="AC83" i="6"/>
  <c r="AC84" i="6"/>
  <c r="AC85" i="6"/>
  <c r="AC86" i="6"/>
  <c r="AC87" i="6"/>
  <c r="AC88" i="6"/>
  <c r="AC89" i="6"/>
  <c r="AC90" i="6"/>
  <c r="AC91" i="6"/>
  <c r="AC92" i="6"/>
  <c r="AC93" i="6"/>
  <c r="AC94" i="6"/>
  <c r="AC95" i="6"/>
  <c r="AC96" i="6"/>
  <c r="AC97" i="6"/>
  <c r="AC98" i="6"/>
  <c r="AC99" i="6"/>
  <c r="AC100" i="6"/>
  <c r="AC101" i="6"/>
  <c r="AC102" i="6"/>
  <c r="AC103" i="6"/>
  <c r="AC104" i="6"/>
  <c r="AC105" i="6"/>
  <c r="AC106" i="6"/>
  <c r="AC107" i="6"/>
  <c r="AC108" i="6"/>
  <c r="AC109" i="6"/>
  <c r="AC110" i="6"/>
  <c r="AC111" i="6"/>
  <c r="AC112" i="6"/>
  <c r="AC113" i="6"/>
  <c r="AC114" i="6"/>
  <c r="AC115" i="6"/>
  <c r="AC116" i="6"/>
  <c r="AC117" i="6"/>
  <c r="AC118" i="6"/>
  <c r="AC119" i="6"/>
  <c r="AC120" i="6"/>
  <c r="AC121" i="6"/>
  <c r="AC122" i="6"/>
  <c r="AC123" i="6"/>
  <c r="AC124" i="6"/>
  <c r="AC125" i="6"/>
  <c r="AC126" i="6"/>
  <c r="AC127" i="6"/>
  <c r="AC128" i="6"/>
  <c r="AC129" i="6"/>
  <c r="AC130" i="6"/>
  <c r="AC131" i="6"/>
  <c r="AC132" i="6"/>
  <c r="AC133" i="6"/>
  <c r="AC134" i="6"/>
  <c r="AC135" i="6"/>
  <c r="AC136" i="6"/>
  <c r="AC137" i="6"/>
  <c r="AC138" i="6"/>
  <c r="AC139" i="6"/>
  <c r="AC140" i="6"/>
  <c r="AC141" i="6"/>
  <c r="AC142" i="6"/>
  <c r="AC143" i="6"/>
  <c r="AC144" i="6"/>
  <c r="AC145" i="6"/>
  <c r="AC146" i="6"/>
  <c r="AC147" i="6"/>
  <c r="AC148" i="6"/>
  <c r="AC149" i="6"/>
  <c r="AC150" i="6"/>
  <c r="AC151" i="6"/>
  <c r="AC152" i="6"/>
  <c r="AC153" i="6"/>
  <c r="AC154" i="6"/>
  <c r="AC155" i="6"/>
  <c r="AC156" i="6"/>
  <c r="AC157" i="6"/>
  <c r="AC158" i="6"/>
  <c r="AC159" i="6"/>
  <c r="AC160" i="6"/>
  <c r="AC161" i="6"/>
  <c r="AC162" i="6"/>
  <c r="AC163" i="6"/>
  <c r="AC164" i="6"/>
  <c r="AC165" i="6"/>
  <c r="AC166" i="6"/>
  <c r="AC167" i="6"/>
  <c r="AC168" i="6"/>
  <c r="AC169" i="6"/>
  <c r="AC170" i="6"/>
  <c r="AC171" i="6"/>
  <c r="AC172" i="6"/>
  <c r="AC173" i="6"/>
  <c r="AB3" i="6"/>
  <c r="AB4" i="6"/>
  <c r="AB5" i="6"/>
  <c r="AB6" i="6"/>
  <c r="AB7" i="6"/>
  <c r="AB8" i="6"/>
  <c r="AB9" i="6"/>
  <c r="AB10" i="6"/>
  <c r="AB11" i="6"/>
  <c r="AB12" i="6"/>
  <c r="AB13" i="6"/>
  <c r="AB14" i="6"/>
  <c r="AB15" i="6"/>
  <c r="AB16" i="6"/>
  <c r="AB17" i="6"/>
  <c r="AB18" i="6"/>
  <c r="AB19" i="6"/>
  <c r="AB20" i="6"/>
  <c r="AB21" i="6"/>
  <c r="AB22" i="6"/>
  <c r="AB23" i="6"/>
  <c r="AB24" i="6"/>
  <c r="AB25" i="6"/>
  <c r="AB26" i="6"/>
  <c r="AB27" i="6"/>
  <c r="AB28" i="6"/>
  <c r="AB29" i="6"/>
  <c r="AB30" i="6"/>
  <c r="AB31" i="6"/>
  <c r="AB32" i="6"/>
  <c r="AB33" i="6"/>
  <c r="AB34" i="6"/>
  <c r="AB35" i="6"/>
  <c r="AB36" i="6"/>
  <c r="AB37" i="6"/>
  <c r="AB38" i="6"/>
  <c r="AB39" i="6"/>
  <c r="AB40" i="6"/>
  <c r="AB41" i="6"/>
  <c r="AB42" i="6"/>
  <c r="AB43" i="6"/>
  <c r="AB44" i="6"/>
  <c r="AB45" i="6"/>
  <c r="AB46" i="6"/>
  <c r="AB47" i="6"/>
  <c r="AB48" i="6"/>
  <c r="AB49" i="6"/>
  <c r="AB50" i="6"/>
  <c r="AB51" i="6"/>
  <c r="AB52" i="6"/>
  <c r="AB53" i="6"/>
  <c r="AB54" i="6"/>
  <c r="AB55" i="6"/>
  <c r="AB56" i="6"/>
  <c r="AB57" i="6"/>
  <c r="AB58" i="6"/>
  <c r="AB59" i="6"/>
  <c r="AB60" i="6"/>
  <c r="AB61" i="6"/>
  <c r="AB62" i="6"/>
  <c r="AB63" i="6"/>
  <c r="AB64" i="6"/>
  <c r="AB65" i="6"/>
  <c r="AB66" i="6"/>
  <c r="AB67" i="6"/>
  <c r="AB68" i="6"/>
  <c r="AB69" i="6"/>
  <c r="AB70" i="6"/>
  <c r="AB71" i="6"/>
  <c r="AB72" i="6"/>
  <c r="AB73" i="6"/>
  <c r="AB74" i="6"/>
  <c r="AB75" i="6"/>
  <c r="AB76" i="6"/>
  <c r="AB77" i="6"/>
  <c r="AB78" i="6"/>
  <c r="AB79" i="6"/>
  <c r="AB80" i="6"/>
  <c r="AB81" i="6"/>
  <c r="AB82" i="6"/>
  <c r="AB83" i="6"/>
  <c r="AB84" i="6"/>
  <c r="AB85" i="6"/>
  <c r="AB86" i="6"/>
  <c r="AB87" i="6"/>
  <c r="AB88" i="6"/>
  <c r="AB89" i="6"/>
  <c r="AB90" i="6"/>
  <c r="AB91" i="6"/>
  <c r="AB92" i="6"/>
  <c r="AB93" i="6"/>
  <c r="AB94" i="6"/>
  <c r="AB95" i="6"/>
  <c r="AB96" i="6"/>
  <c r="AB97" i="6"/>
  <c r="AB98" i="6"/>
  <c r="AB99" i="6"/>
  <c r="AB100" i="6"/>
  <c r="AB101" i="6"/>
  <c r="AB102" i="6"/>
  <c r="AB103" i="6"/>
  <c r="AB104" i="6"/>
  <c r="AB105" i="6"/>
  <c r="AB106" i="6"/>
  <c r="AB107" i="6"/>
  <c r="AB108" i="6"/>
  <c r="AB109" i="6"/>
  <c r="AB110" i="6"/>
  <c r="AB111" i="6"/>
  <c r="AB112" i="6"/>
  <c r="AB113" i="6"/>
  <c r="AB114" i="6"/>
  <c r="AB115" i="6"/>
  <c r="AB116" i="6"/>
  <c r="AB117" i="6"/>
  <c r="AB118" i="6"/>
  <c r="AB119" i="6"/>
  <c r="AB120" i="6"/>
  <c r="AB121" i="6"/>
  <c r="AB122" i="6"/>
  <c r="AB123" i="6"/>
  <c r="AB124" i="6"/>
  <c r="AB125" i="6"/>
  <c r="AB126" i="6"/>
  <c r="AB127" i="6"/>
  <c r="AB128" i="6"/>
  <c r="AB129" i="6"/>
  <c r="AB130" i="6"/>
  <c r="AB131" i="6"/>
  <c r="AB132" i="6"/>
  <c r="AB133" i="6"/>
  <c r="AB134" i="6"/>
  <c r="AB135" i="6"/>
  <c r="AB136" i="6"/>
  <c r="AB137" i="6"/>
  <c r="AB138" i="6"/>
  <c r="AB139" i="6"/>
  <c r="AB140" i="6"/>
  <c r="AB141" i="6"/>
  <c r="AB142" i="6"/>
  <c r="AB143" i="6"/>
  <c r="AB144" i="6"/>
  <c r="AB145" i="6"/>
  <c r="AB146" i="6"/>
  <c r="AB147" i="6"/>
  <c r="AB148" i="6"/>
  <c r="AB149" i="6"/>
  <c r="AB150" i="6"/>
  <c r="AB151" i="6"/>
  <c r="AB152" i="6"/>
  <c r="AB153" i="6"/>
  <c r="AB154" i="6"/>
  <c r="AB155" i="6"/>
  <c r="AB156" i="6"/>
  <c r="AB157" i="6"/>
  <c r="AB158" i="6"/>
  <c r="AB159" i="6"/>
  <c r="AB160" i="6"/>
  <c r="AB161" i="6"/>
  <c r="AB162" i="6"/>
  <c r="AB163" i="6"/>
  <c r="AB164" i="6"/>
  <c r="AB165" i="6"/>
  <c r="AB166" i="6"/>
  <c r="AB167" i="6"/>
  <c r="AB168" i="6"/>
  <c r="AB169" i="6"/>
  <c r="AB170" i="6"/>
  <c r="AB171" i="6"/>
  <c r="AB172" i="6"/>
  <c r="AB173" i="6"/>
  <c r="AA3" i="6"/>
  <c r="AA4" i="6"/>
  <c r="AA5" i="6"/>
  <c r="AA6" i="6"/>
  <c r="AA7" i="6"/>
  <c r="AA8" i="6"/>
  <c r="AA9" i="6"/>
  <c r="AA10" i="6"/>
  <c r="AA11" i="6"/>
  <c r="AA12" i="6"/>
  <c r="AA13" i="6"/>
  <c r="AA14" i="6"/>
  <c r="AA15" i="6"/>
  <c r="AA16" i="6"/>
  <c r="AA17" i="6"/>
  <c r="AA18" i="6"/>
  <c r="AA19" i="6"/>
  <c r="AA20" i="6"/>
  <c r="AA21" i="6"/>
  <c r="AA22" i="6"/>
  <c r="AA23" i="6"/>
  <c r="AA24" i="6"/>
  <c r="AA25" i="6"/>
  <c r="AA26" i="6"/>
  <c r="AA27" i="6"/>
  <c r="AA28" i="6"/>
  <c r="AA29" i="6"/>
  <c r="AA30" i="6"/>
  <c r="AA31" i="6"/>
  <c r="AA32" i="6"/>
  <c r="AA33" i="6"/>
  <c r="AA34" i="6"/>
  <c r="AA35" i="6"/>
  <c r="AA36" i="6"/>
  <c r="AA37" i="6"/>
  <c r="AA38" i="6"/>
  <c r="AA39" i="6"/>
  <c r="AA40" i="6"/>
  <c r="AA41" i="6"/>
  <c r="AA42" i="6"/>
  <c r="AA43" i="6"/>
  <c r="AA44" i="6"/>
  <c r="AA45" i="6"/>
  <c r="AA46" i="6"/>
  <c r="AA47" i="6"/>
  <c r="AA48" i="6"/>
  <c r="AA49" i="6"/>
  <c r="AA50" i="6"/>
  <c r="AA51" i="6"/>
  <c r="AA52" i="6"/>
  <c r="AA53" i="6"/>
  <c r="AA54" i="6"/>
  <c r="AA55" i="6"/>
  <c r="AA56" i="6"/>
  <c r="AA57" i="6"/>
  <c r="AA58" i="6"/>
  <c r="AA59" i="6"/>
  <c r="AA60" i="6"/>
  <c r="AA61" i="6"/>
  <c r="AA62" i="6"/>
  <c r="AA63" i="6"/>
  <c r="AA64" i="6"/>
  <c r="AA65" i="6"/>
  <c r="AA66" i="6"/>
  <c r="AA67" i="6"/>
  <c r="AA68" i="6"/>
  <c r="AA69" i="6"/>
  <c r="AA70" i="6"/>
  <c r="AA71" i="6"/>
  <c r="AA72" i="6"/>
  <c r="AA73" i="6"/>
  <c r="AA74" i="6"/>
  <c r="AA75" i="6"/>
  <c r="AA76" i="6"/>
  <c r="AA77" i="6"/>
  <c r="AA78" i="6"/>
  <c r="AA79" i="6"/>
  <c r="AA80" i="6"/>
  <c r="AA81" i="6"/>
  <c r="AA82" i="6"/>
  <c r="AA83" i="6"/>
  <c r="AA84" i="6"/>
  <c r="AA85" i="6"/>
  <c r="AA86" i="6"/>
  <c r="AA87" i="6"/>
  <c r="AA88" i="6"/>
  <c r="AA89" i="6"/>
  <c r="AA90" i="6"/>
  <c r="AA91" i="6"/>
  <c r="AA92" i="6"/>
  <c r="AA93" i="6"/>
  <c r="AA94" i="6"/>
  <c r="AA95" i="6"/>
  <c r="AA96" i="6"/>
  <c r="AA97" i="6"/>
  <c r="AA98" i="6"/>
  <c r="AA99" i="6"/>
  <c r="AA100" i="6"/>
  <c r="AA101" i="6"/>
  <c r="AA102" i="6"/>
  <c r="AA103" i="6"/>
  <c r="AA104" i="6"/>
  <c r="AA105" i="6"/>
  <c r="AA106" i="6"/>
  <c r="AA107" i="6"/>
  <c r="AA108" i="6"/>
  <c r="AA109" i="6"/>
  <c r="AA110" i="6"/>
  <c r="AA111" i="6"/>
  <c r="AA112" i="6"/>
  <c r="AA113" i="6"/>
  <c r="AA114" i="6"/>
  <c r="AA115" i="6"/>
  <c r="AA116" i="6"/>
  <c r="AA117" i="6"/>
  <c r="AA118" i="6"/>
  <c r="AA119" i="6"/>
  <c r="AA120" i="6"/>
  <c r="AA121" i="6"/>
  <c r="AA122" i="6"/>
  <c r="AA123" i="6"/>
  <c r="AA124" i="6"/>
  <c r="AA125" i="6"/>
  <c r="AA126" i="6"/>
  <c r="AA127" i="6"/>
  <c r="AA128" i="6"/>
  <c r="AA129" i="6"/>
  <c r="AA130" i="6"/>
  <c r="AA131" i="6"/>
  <c r="AA132" i="6"/>
  <c r="AA133" i="6"/>
  <c r="AA134" i="6"/>
  <c r="AA135" i="6"/>
  <c r="AA136" i="6"/>
  <c r="AA137" i="6"/>
  <c r="AA138" i="6"/>
  <c r="AA139" i="6"/>
  <c r="AA140" i="6"/>
  <c r="AA141" i="6"/>
  <c r="AA142" i="6"/>
  <c r="AA143" i="6"/>
  <c r="AA144" i="6"/>
  <c r="AA145" i="6"/>
  <c r="AA146" i="6"/>
  <c r="AA147" i="6"/>
  <c r="AA148" i="6"/>
  <c r="AA149" i="6"/>
  <c r="AA150" i="6"/>
  <c r="AA151" i="6"/>
  <c r="AA152" i="6"/>
  <c r="AA153" i="6"/>
  <c r="AA154" i="6"/>
  <c r="AA155" i="6"/>
  <c r="AA156" i="6"/>
  <c r="AA157" i="6"/>
  <c r="AA158" i="6"/>
  <c r="AA159" i="6"/>
  <c r="AA160" i="6"/>
  <c r="AA161" i="6"/>
  <c r="AA162" i="6"/>
  <c r="AA163" i="6"/>
  <c r="AA164" i="6"/>
  <c r="AA165" i="6"/>
  <c r="AA166" i="6"/>
  <c r="AA167" i="6"/>
  <c r="AA168" i="6"/>
  <c r="AA169" i="6"/>
  <c r="AA170" i="6"/>
  <c r="AA171" i="6"/>
  <c r="AA172" i="6"/>
  <c r="AA173" i="6"/>
  <c r="Z3" i="6"/>
  <c r="Z4" i="6"/>
  <c r="Z5" i="6"/>
  <c r="Z6" i="6"/>
  <c r="Z7" i="6"/>
  <c r="Z8" i="6"/>
  <c r="Z9" i="6"/>
  <c r="Z10" i="6"/>
  <c r="Z11" i="6"/>
  <c r="Z12" i="6"/>
  <c r="Z13" i="6"/>
  <c r="Z14" i="6"/>
  <c r="Z15" i="6"/>
  <c r="Z16" i="6"/>
  <c r="Z17" i="6"/>
  <c r="Z18" i="6"/>
  <c r="Z19" i="6"/>
  <c r="Z20" i="6"/>
  <c r="Z21" i="6"/>
  <c r="Z22" i="6"/>
  <c r="Z23" i="6"/>
  <c r="Z24" i="6"/>
  <c r="Z25" i="6"/>
  <c r="Z26" i="6"/>
  <c r="Z27" i="6"/>
  <c r="Z28" i="6"/>
  <c r="Z29" i="6"/>
  <c r="Z30" i="6"/>
  <c r="Z31" i="6"/>
  <c r="Z32" i="6"/>
  <c r="Z33" i="6"/>
  <c r="Z34" i="6"/>
  <c r="Z35" i="6"/>
  <c r="Z36" i="6"/>
  <c r="Z37" i="6"/>
  <c r="Z38" i="6"/>
  <c r="Z39" i="6"/>
  <c r="Z40" i="6"/>
  <c r="Z41" i="6"/>
  <c r="Z42" i="6"/>
  <c r="Z43" i="6"/>
  <c r="Z44" i="6"/>
  <c r="Z45" i="6"/>
  <c r="Z46" i="6"/>
  <c r="Z47" i="6"/>
  <c r="Z48" i="6"/>
  <c r="Z49" i="6"/>
  <c r="Z50" i="6"/>
  <c r="Z51" i="6"/>
  <c r="Z52" i="6"/>
  <c r="Z53" i="6"/>
  <c r="Z54" i="6"/>
  <c r="Z55" i="6"/>
  <c r="Z56" i="6"/>
  <c r="Z57" i="6"/>
  <c r="Z58" i="6"/>
  <c r="Z59" i="6"/>
  <c r="Z60" i="6"/>
  <c r="Z61" i="6"/>
  <c r="Z62" i="6"/>
  <c r="Z63" i="6"/>
  <c r="Z64" i="6"/>
  <c r="Z65" i="6"/>
  <c r="Z66" i="6"/>
  <c r="Z67" i="6"/>
  <c r="Z68" i="6"/>
  <c r="Z69" i="6"/>
  <c r="Z70" i="6"/>
  <c r="Z71" i="6"/>
  <c r="Z72" i="6"/>
  <c r="Z73" i="6"/>
  <c r="Z74" i="6"/>
  <c r="Z75" i="6"/>
  <c r="Z76" i="6"/>
  <c r="Z77" i="6"/>
  <c r="Z78" i="6"/>
  <c r="Z79" i="6"/>
  <c r="Z80" i="6"/>
  <c r="Z81" i="6"/>
  <c r="Z82" i="6"/>
  <c r="Z83" i="6"/>
  <c r="Z84" i="6"/>
  <c r="Z85" i="6"/>
  <c r="Z86" i="6"/>
  <c r="Z87" i="6"/>
  <c r="Z88" i="6"/>
  <c r="Z89" i="6"/>
  <c r="Z90" i="6"/>
  <c r="Z91" i="6"/>
  <c r="Z92" i="6"/>
  <c r="Z93" i="6"/>
  <c r="Z94" i="6"/>
  <c r="Z95" i="6"/>
  <c r="Z96" i="6"/>
  <c r="Z97" i="6"/>
  <c r="Z98" i="6"/>
  <c r="Z99" i="6"/>
  <c r="Z100" i="6"/>
  <c r="Z101" i="6"/>
  <c r="Z102" i="6"/>
  <c r="Z103" i="6"/>
  <c r="Z104" i="6"/>
  <c r="Z105" i="6"/>
  <c r="Z106" i="6"/>
  <c r="Z107" i="6"/>
  <c r="Z108" i="6"/>
  <c r="Z109" i="6"/>
  <c r="Z110" i="6"/>
  <c r="Z111" i="6"/>
  <c r="Z112" i="6"/>
  <c r="Z113" i="6"/>
  <c r="Z114" i="6"/>
  <c r="Z115" i="6"/>
  <c r="Z116" i="6"/>
  <c r="Z117" i="6"/>
  <c r="Z118" i="6"/>
  <c r="Z119" i="6"/>
  <c r="Z120" i="6"/>
  <c r="Z121" i="6"/>
  <c r="Z122" i="6"/>
  <c r="Z123" i="6"/>
  <c r="Z124" i="6"/>
  <c r="Z125" i="6"/>
  <c r="Z126" i="6"/>
  <c r="Z127" i="6"/>
  <c r="Z128" i="6"/>
  <c r="Z129" i="6"/>
  <c r="Z130" i="6"/>
  <c r="Z131" i="6"/>
  <c r="Z132" i="6"/>
  <c r="Z133" i="6"/>
  <c r="Z134" i="6"/>
  <c r="Z135" i="6"/>
  <c r="Z136" i="6"/>
  <c r="Z137" i="6"/>
  <c r="Z138" i="6"/>
  <c r="Z139" i="6"/>
  <c r="Z140" i="6"/>
  <c r="Z141" i="6"/>
  <c r="Z142" i="6"/>
  <c r="Z143" i="6"/>
  <c r="Z144" i="6"/>
  <c r="Z145" i="6"/>
  <c r="Z146" i="6"/>
  <c r="Z147" i="6"/>
  <c r="Z148" i="6"/>
  <c r="Z149" i="6"/>
  <c r="Z150" i="6"/>
  <c r="Z151" i="6"/>
  <c r="Z152" i="6"/>
  <c r="Z153" i="6"/>
  <c r="Z154" i="6"/>
  <c r="Z155" i="6"/>
  <c r="Z156" i="6"/>
  <c r="Z157" i="6"/>
  <c r="Z158" i="6"/>
  <c r="Z159" i="6"/>
  <c r="Z160" i="6"/>
  <c r="Z161" i="6"/>
  <c r="Z162" i="6"/>
  <c r="Z163" i="6"/>
  <c r="Z164" i="6"/>
  <c r="Z165" i="6"/>
  <c r="Z166" i="6"/>
  <c r="Z167" i="6"/>
  <c r="Z168" i="6"/>
  <c r="Z169" i="6"/>
  <c r="Z170" i="6"/>
  <c r="Z171" i="6"/>
  <c r="Z172" i="6"/>
  <c r="Z173" i="6"/>
  <c r="R180" i="6"/>
  <c r="R179" i="6"/>
  <c r="R178" i="6"/>
  <c r="R177" i="6"/>
  <c r="S3" i="6"/>
  <c r="S4" i="6"/>
  <c r="S5" i="6"/>
  <c r="S6" i="6"/>
  <c r="S7" i="6"/>
  <c r="S106" i="6"/>
  <c r="S107" i="6"/>
  <c r="S108" i="6"/>
  <c r="S8" i="6"/>
  <c r="S109" i="6"/>
  <c r="S9" i="6"/>
  <c r="S110" i="6"/>
  <c r="S111" i="6"/>
  <c r="S112" i="6"/>
  <c r="S113" i="6"/>
  <c r="S10" i="6"/>
  <c r="S114" i="6"/>
  <c r="S11" i="6"/>
  <c r="S115" i="6"/>
  <c r="S116" i="6"/>
  <c r="S117" i="6"/>
  <c r="S12" i="6"/>
  <c r="S78" i="6"/>
  <c r="S118" i="6"/>
  <c r="S119" i="6"/>
  <c r="S13" i="6"/>
  <c r="S14" i="6"/>
  <c r="S120" i="6"/>
  <c r="S15" i="6"/>
  <c r="S16" i="6"/>
  <c r="S121" i="6"/>
  <c r="S122" i="6"/>
  <c r="S79" i="6"/>
  <c r="S123" i="6"/>
  <c r="S124" i="6"/>
  <c r="S125" i="6"/>
  <c r="S126" i="6"/>
  <c r="S129" i="6"/>
  <c r="S127" i="6"/>
  <c r="S128" i="6"/>
  <c r="S17" i="6"/>
  <c r="S130" i="6"/>
  <c r="S131" i="6"/>
  <c r="S132" i="6"/>
  <c r="S134" i="6"/>
  <c r="S133" i="6"/>
  <c r="S18" i="6"/>
  <c r="S135" i="6"/>
  <c r="S136" i="6"/>
  <c r="S137" i="6"/>
  <c r="S138" i="6"/>
  <c r="S139" i="6"/>
  <c r="S140" i="6"/>
  <c r="S142" i="6"/>
  <c r="S141" i="6"/>
  <c r="S144" i="6"/>
  <c r="S143" i="6"/>
  <c r="S19" i="6"/>
  <c r="S20" i="6"/>
  <c r="S145" i="6"/>
  <c r="S21" i="6"/>
  <c r="S146" i="6"/>
  <c r="S147" i="6"/>
  <c r="S148" i="6"/>
  <c r="S150" i="6"/>
  <c r="S151" i="6"/>
  <c r="S152" i="6"/>
  <c r="S149" i="6"/>
  <c r="S154" i="6"/>
  <c r="S153" i="6"/>
  <c r="S155" i="6"/>
  <c r="S156" i="6"/>
  <c r="S80" i="6"/>
  <c r="S158" i="6"/>
  <c r="S157" i="6"/>
  <c r="S159" i="6"/>
  <c r="S160" i="6"/>
  <c r="S23" i="6"/>
  <c r="S22" i="6"/>
  <c r="S161" i="6"/>
  <c r="S81" i="6"/>
  <c r="S82" i="6"/>
  <c r="S162" i="6"/>
  <c r="S163" i="6"/>
  <c r="S24" i="6"/>
  <c r="S166" i="6"/>
  <c r="S165" i="6"/>
  <c r="S164" i="6"/>
  <c r="S167" i="6"/>
  <c r="S168" i="6"/>
  <c r="S83" i="6"/>
  <c r="S169" i="6"/>
  <c r="S170" i="6"/>
  <c r="S172" i="6"/>
  <c r="S171" i="6"/>
  <c r="S84" i="6"/>
  <c r="S173" i="6"/>
  <c r="S85" i="6"/>
  <c r="S25" i="6"/>
  <c r="S26" i="6"/>
  <c r="S86" i="6"/>
  <c r="S54" i="6"/>
  <c r="S28" i="6"/>
  <c r="S27" i="6"/>
  <c r="S56" i="6"/>
  <c r="S55" i="6"/>
  <c r="S87" i="6"/>
  <c r="S29" i="6"/>
  <c r="S89" i="6"/>
  <c r="S90" i="6"/>
  <c r="S88" i="6"/>
  <c r="S57" i="6"/>
  <c r="S30" i="6"/>
  <c r="S91" i="6"/>
  <c r="S58" i="6"/>
  <c r="S31" i="6"/>
  <c r="S92" i="6"/>
  <c r="S93" i="6"/>
  <c r="S59" i="6"/>
  <c r="S60" i="6"/>
  <c r="S32" i="6"/>
  <c r="S61" i="6"/>
  <c r="S94" i="6"/>
  <c r="S62" i="6"/>
  <c r="S33" i="6"/>
  <c r="S95" i="6"/>
  <c r="S34" i="6"/>
  <c r="S96" i="6"/>
  <c r="S63" i="6"/>
  <c r="S97" i="6"/>
  <c r="S99" i="6"/>
  <c r="S98" i="6"/>
  <c r="S100" i="6"/>
  <c r="S101" i="6"/>
  <c r="S102" i="6"/>
  <c r="S64" i="6"/>
  <c r="S35" i="6"/>
  <c r="S36" i="6"/>
  <c r="S103" i="6"/>
  <c r="S65" i="6"/>
  <c r="S37" i="6"/>
  <c r="S104" i="6"/>
  <c r="S66" i="6"/>
  <c r="S105" i="6"/>
  <c r="S67" i="6"/>
  <c r="S68" i="6"/>
  <c r="S69" i="6"/>
  <c r="S70" i="6"/>
  <c r="S71" i="6"/>
  <c r="S38" i="6"/>
  <c r="S39" i="6"/>
  <c r="S40" i="6"/>
  <c r="S72" i="6"/>
  <c r="S41" i="6"/>
  <c r="S42" i="6"/>
  <c r="S43" i="6"/>
  <c r="S73" i="6"/>
  <c r="S44" i="6"/>
  <c r="S74" i="6"/>
  <c r="S45" i="6"/>
  <c r="S46" i="6"/>
  <c r="S75" i="6"/>
  <c r="S76" i="6"/>
  <c r="S47" i="6"/>
  <c r="S48" i="6"/>
  <c r="S77" i="6"/>
  <c r="S49" i="6"/>
  <c r="S50" i="6"/>
  <c r="S51" i="6"/>
  <c r="S52" i="6"/>
  <c r="S53" i="6"/>
  <c r="R3" i="6"/>
  <c r="R4" i="6"/>
  <c r="R5" i="6"/>
  <c r="R6" i="6"/>
  <c r="R7" i="6"/>
  <c r="R106" i="6"/>
  <c r="R107" i="6"/>
  <c r="R108" i="6"/>
  <c r="R8" i="6"/>
  <c r="R109" i="6"/>
  <c r="R9" i="6"/>
  <c r="R110" i="6"/>
  <c r="R111" i="6"/>
  <c r="R112" i="6"/>
  <c r="R113" i="6"/>
  <c r="R10" i="6"/>
  <c r="R114" i="6"/>
  <c r="R11" i="6"/>
  <c r="R115" i="6"/>
  <c r="R116" i="6"/>
  <c r="R117" i="6"/>
  <c r="R12" i="6"/>
  <c r="R78" i="6"/>
  <c r="R118" i="6"/>
  <c r="R119" i="6"/>
  <c r="R13" i="6"/>
  <c r="R14" i="6"/>
  <c r="R120" i="6"/>
  <c r="R15" i="6"/>
  <c r="R16" i="6"/>
  <c r="R121" i="6"/>
  <c r="R122" i="6"/>
  <c r="R79" i="6"/>
  <c r="R123" i="6"/>
  <c r="R124" i="6"/>
  <c r="R125" i="6"/>
  <c r="R126" i="6"/>
  <c r="R129" i="6"/>
  <c r="R127" i="6"/>
  <c r="R128" i="6"/>
  <c r="R17" i="6"/>
  <c r="R130" i="6"/>
  <c r="R131" i="6"/>
  <c r="R132" i="6"/>
  <c r="R134" i="6"/>
  <c r="R133" i="6"/>
  <c r="R18" i="6"/>
  <c r="R135" i="6"/>
  <c r="R136" i="6"/>
  <c r="R137" i="6"/>
  <c r="R138" i="6"/>
  <c r="R139" i="6"/>
  <c r="R140" i="6"/>
  <c r="R142" i="6"/>
  <c r="R141" i="6"/>
  <c r="R144" i="6"/>
  <c r="R143" i="6"/>
  <c r="R19" i="6"/>
  <c r="R20" i="6"/>
  <c r="R145" i="6"/>
  <c r="R21" i="6"/>
  <c r="R146" i="6"/>
  <c r="R147" i="6"/>
  <c r="R148" i="6"/>
  <c r="R150" i="6"/>
  <c r="R151" i="6"/>
  <c r="R152" i="6"/>
  <c r="R149" i="6"/>
  <c r="R154" i="6"/>
  <c r="R153" i="6"/>
  <c r="R155" i="6"/>
  <c r="R156" i="6"/>
  <c r="R80" i="6"/>
  <c r="R158" i="6"/>
  <c r="R157" i="6"/>
  <c r="R159" i="6"/>
  <c r="R160" i="6"/>
  <c r="R23" i="6"/>
  <c r="R22" i="6"/>
  <c r="R161" i="6"/>
  <c r="R81" i="6"/>
  <c r="R82" i="6"/>
  <c r="R162" i="6"/>
  <c r="R163" i="6"/>
  <c r="R24" i="6"/>
  <c r="R166" i="6"/>
  <c r="R165" i="6"/>
  <c r="R164" i="6"/>
  <c r="R167" i="6"/>
  <c r="R168" i="6"/>
  <c r="R83" i="6"/>
  <c r="R169" i="6"/>
  <c r="R170" i="6"/>
  <c r="R172" i="6"/>
  <c r="R171" i="6"/>
  <c r="R84" i="6"/>
  <c r="R173" i="6"/>
  <c r="R85" i="6"/>
  <c r="R25" i="6"/>
  <c r="R26" i="6"/>
  <c r="R86" i="6"/>
  <c r="R54" i="6"/>
  <c r="R28" i="6"/>
  <c r="R27" i="6"/>
  <c r="R56" i="6"/>
  <c r="R55" i="6"/>
  <c r="R87" i="6"/>
  <c r="R29" i="6"/>
  <c r="R89" i="6"/>
  <c r="R90" i="6"/>
  <c r="R88" i="6"/>
  <c r="R57" i="6"/>
  <c r="R30" i="6"/>
  <c r="R91" i="6"/>
  <c r="R58" i="6"/>
  <c r="R31" i="6"/>
  <c r="R92" i="6"/>
  <c r="R93" i="6"/>
  <c r="R59" i="6"/>
  <c r="R60" i="6"/>
  <c r="R32" i="6"/>
  <c r="R61" i="6"/>
  <c r="R94" i="6"/>
  <c r="R62" i="6"/>
  <c r="R33" i="6"/>
  <c r="R95" i="6"/>
  <c r="R34" i="6"/>
  <c r="R96" i="6"/>
  <c r="R63" i="6"/>
  <c r="R97" i="6"/>
  <c r="R99" i="6"/>
  <c r="R98" i="6"/>
  <c r="R100" i="6"/>
  <c r="R101" i="6"/>
  <c r="R102" i="6"/>
  <c r="R64" i="6"/>
  <c r="R35" i="6"/>
  <c r="R36" i="6"/>
  <c r="R103" i="6"/>
  <c r="R65" i="6"/>
  <c r="R37" i="6"/>
  <c r="R104" i="6"/>
  <c r="R66" i="6"/>
  <c r="R105" i="6"/>
  <c r="R67" i="6"/>
  <c r="R68" i="6"/>
  <c r="R69" i="6"/>
  <c r="R70" i="6"/>
  <c r="R71" i="6"/>
  <c r="R38" i="6"/>
  <c r="R39" i="6"/>
  <c r="R40" i="6"/>
  <c r="R72" i="6"/>
  <c r="R41" i="6"/>
  <c r="R42" i="6"/>
  <c r="R43" i="6"/>
  <c r="R73" i="6"/>
  <c r="R44" i="6"/>
  <c r="R74" i="6"/>
  <c r="R45" i="6"/>
  <c r="R46" i="6"/>
  <c r="R75" i="6"/>
  <c r="R76" i="6"/>
  <c r="R47" i="6"/>
  <c r="R48" i="6"/>
  <c r="R77" i="6"/>
  <c r="R49" i="6"/>
  <c r="R50" i="6"/>
  <c r="R51" i="6"/>
  <c r="R52" i="6"/>
  <c r="R53" i="6"/>
  <c r="Q3" i="6"/>
  <c r="Q4" i="6"/>
  <c r="Q5" i="6"/>
  <c r="Q6" i="6"/>
  <c r="Q7" i="6"/>
  <c r="Q106" i="6"/>
  <c r="Q107" i="6"/>
  <c r="Q108" i="6"/>
  <c r="Q8" i="6"/>
  <c r="Q109" i="6"/>
  <c r="Q9" i="6"/>
  <c r="Q110" i="6"/>
  <c r="Q111" i="6"/>
  <c r="Q112" i="6"/>
  <c r="Q113" i="6"/>
  <c r="Q10" i="6"/>
  <c r="Q114" i="6"/>
  <c r="Q11" i="6"/>
  <c r="Q115" i="6"/>
  <c r="Q116" i="6"/>
  <c r="Q117" i="6"/>
  <c r="Q12" i="6"/>
  <c r="Q78" i="6"/>
  <c r="Q118" i="6"/>
  <c r="Q119" i="6"/>
  <c r="Q13" i="6"/>
  <c r="Q14" i="6"/>
  <c r="Q120" i="6"/>
  <c r="Q15" i="6"/>
  <c r="Q16" i="6"/>
  <c r="Q121" i="6"/>
  <c r="Q122" i="6"/>
  <c r="Q79" i="6"/>
  <c r="Q123" i="6"/>
  <c r="Q124" i="6"/>
  <c r="Q125" i="6"/>
  <c r="Q126" i="6"/>
  <c r="Q129" i="6"/>
  <c r="Q127" i="6"/>
  <c r="Q128" i="6"/>
  <c r="Q17" i="6"/>
  <c r="Q130" i="6"/>
  <c r="Q131" i="6"/>
  <c r="Q132" i="6"/>
  <c r="Q134" i="6"/>
  <c r="Q133" i="6"/>
  <c r="Q18" i="6"/>
  <c r="Q135" i="6"/>
  <c r="Q136" i="6"/>
  <c r="Q137" i="6"/>
  <c r="Q138" i="6"/>
  <c r="Q139" i="6"/>
  <c r="Q140" i="6"/>
  <c r="Q142" i="6"/>
  <c r="Q141" i="6"/>
  <c r="Q144" i="6"/>
  <c r="Q143" i="6"/>
  <c r="Q19" i="6"/>
  <c r="Q20" i="6"/>
  <c r="Q145" i="6"/>
  <c r="Q21" i="6"/>
  <c r="Q146" i="6"/>
  <c r="Q147" i="6"/>
  <c r="Q148" i="6"/>
  <c r="Q150" i="6"/>
  <c r="Q151" i="6"/>
  <c r="Q152" i="6"/>
  <c r="Q149" i="6"/>
  <c r="Q154" i="6"/>
  <c r="Q153" i="6"/>
  <c r="Q155" i="6"/>
  <c r="Q156" i="6"/>
  <c r="Q80" i="6"/>
  <c r="Q158" i="6"/>
  <c r="Q157" i="6"/>
  <c r="Q159" i="6"/>
  <c r="Q160" i="6"/>
  <c r="Q23" i="6"/>
  <c r="Q22" i="6"/>
  <c r="Q161" i="6"/>
  <c r="Q81" i="6"/>
  <c r="Q82" i="6"/>
  <c r="Q162" i="6"/>
  <c r="Q163" i="6"/>
  <c r="Q24" i="6"/>
  <c r="Q166" i="6"/>
  <c r="Q165" i="6"/>
  <c r="Q164" i="6"/>
  <c r="Q167" i="6"/>
  <c r="Q168" i="6"/>
  <c r="Q83" i="6"/>
  <c r="Q169" i="6"/>
  <c r="Q170" i="6"/>
  <c r="Q172" i="6"/>
  <c r="Q171" i="6"/>
  <c r="Q84" i="6"/>
  <c r="Q173" i="6"/>
  <c r="Q85" i="6"/>
  <c r="Q25" i="6"/>
  <c r="Q26" i="6"/>
  <c r="Q86" i="6"/>
  <c r="Q54" i="6"/>
  <c r="Q28" i="6"/>
  <c r="Q27" i="6"/>
  <c r="Q56" i="6"/>
  <c r="Q55" i="6"/>
  <c r="Q87" i="6"/>
  <c r="Q29" i="6"/>
  <c r="Q89" i="6"/>
  <c r="Q90" i="6"/>
  <c r="Q88" i="6"/>
  <c r="Q57" i="6"/>
  <c r="Q30" i="6"/>
  <c r="Q91" i="6"/>
  <c r="Q58" i="6"/>
  <c r="Q31" i="6"/>
  <c r="Q92" i="6"/>
  <c r="Q93" i="6"/>
  <c r="Q59" i="6"/>
  <c r="Q60" i="6"/>
  <c r="Q32" i="6"/>
  <c r="Q61" i="6"/>
  <c r="Q94" i="6"/>
  <c r="Q62" i="6"/>
  <c r="Q33" i="6"/>
  <c r="Q95" i="6"/>
  <c r="Q34" i="6"/>
  <c r="Q96" i="6"/>
  <c r="Q63" i="6"/>
  <c r="Q97" i="6"/>
  <c r="Q99" i="6"/>
  <c r="Q98" i="6"/>
  <c r="Q100" i="6"/>
  <c r="Q101" i="6"/>
  <c r="Q102" i="6"/>
  <c r="Q64" i="6"/>
  <c r="Q35" i="6"/>
  <c r="Q36" i="6"/>
  <c r="Q103" i="6"/>
  <c r="Q65" i="6"/>
  <c r="Q37" i="6"/>
  <c r="Q104" i="6"/>
  <c r="Q66" i="6"/>
  <c r="Q105" i="6"/>
  <c r="Q67" i="6"/>
  <c r="Q68" i="6"/>
  <c r="Q69" i="6"/>
  <c r="Q70" i="6"/>
  <c r="Q71" i="6"/>
  <c r="Q38" i="6"/>
  <c r="Q39" i="6"/>
  <c r="Q40" i="6"/>
  <c r="Q72" i="6"/>
  <c r="Q41" i="6"/>
  <c r="Q42" i="6"/>
  <c r="Q43" i="6"/>
  <c r="Q73" i="6"/>
  <c r="Q44" i="6"/>
  <c r="Q74" i="6"/>
  <c r="Q45" i="6"/>
  <c r="Q46" i="6"/>
  <c r="Q75" i="6"/>
  <c r="Q76" i="6"/>
  <c r="Q47" i="6"/>
  <c r="Q48" i="6"/>
  <c r="Q77" i="6"/>
  <c r="Q49" i="6"/>
  <c r="Q50" i="6"/>
  <c r="Q51" i="6"/>
  <c r="Q52" i="6"/>
  <c r="Q53" i="6"/>
  <c r="P3" i="6"/>
  <c r="P4" i="6"/>
  <c r="P5" i="6"/>
  <c r="P6" i="6"/>
  <c r="P7" i="6"/>
  <c r="P106" i="6"/>
  <c r="P107" i="6"/>
  <c r="P108" i="6"/>
  <c r="P8" i="6"/>
  <c r="P109" i="6"/>
  <c r="P9" i="6"/>
  <c r="P110" i="6"/>
  <c r="P111" i="6"/>
  <c r="P112" i="6"/>
  <c r="P113" i="6"/>
  <c r="P10" i="6"/>
  <c r="P114" i="6"/>
  <c r="P11" i="6"/>
  <c r="P115" i="6"/>
  <c r="P116" i="6"/>
  <c r="P117" i="6"/>
  <c r="P12" i="6"/>
  <c r="P78" i="6"/>
  <c r="P118" i="6"/>
  <c r="P119" i="6"/>
  <c r="P13" i="6"/>
  <c r="P14" i="6"/>
  <c r="P120" i="6"/>
  <c r="P15" i="6"/>
  <c r="P16" i="6"/>
  <c r="P121" i="6"/>
  <c r="P122" i="6"/>
  <c r="P79" i="6"/>
  <c r="P123" i="6"/>
  <c r="P124" i="6"/>
  <c r="P125" i="6"/>
  <c r="P126" i="6"/>
  <c r="P129" i="6"/>
  <c r="P127" i="6"/>
  <c r="P128" i="6"/>
  <c r="P17" i="6"/>
  <c r="P130" i="6"/>
  <c r="P131" i="6"/>
  <c r="P132" i="6"/>
  <c r="P134" i="6"/>
  <c r="P133" i="6"/>
  <c r="P18" i="6"/>
  <c r="P135" i="6"/>
  <c r="P136" i="6"/>
  <c r="P137" i="6"/>
  <c r="P138" i="6"/>
  <c r="P139" i="6"/>
  <c r="P140" i="6"/>
  <c r="P142" i="6"/>
  <c r="P141" i="6"/>
  <c r="P144" i="6"/>
  <c r="P143" i="6"/>
  <c r="P19" i="6"/>
  <c r="P20" i="6"/>
  <c r="P145" i="6"/>
  <c r="P21" i="6"/>
  <c r="P146" i="6"/>
  <c r="P147" i="6"/>
  <c r="P148" i="6"/>
  <c r="P150" i="6"/>
  <c r="P151" i="6"/>
  <c r="P152" i="6"/>
  <c r="P149" i="6"/>
  <c r="P154" i="6"/>
  <c r="P153" i="6"/>
  <c r="P155" i="6"/>
  <c r="P156" i="6"/>
  <c r="P80" i="6"/>
  <c r="P158" i="6"/>
  <c r="P157" i="6"/>
  <c r="P159" i="6"/>
  <c r="P160" i="6"/>
  <c r="P23" i="6"/>
  <c r="P22" i="6"/>
  <c r="P161" i="6"/>
  <c r="P81" i="6"/>
  <c r="P82" i="6"/>
  <c r="P162" i="6"/>
  <c r="P163" i="6"/>
  <c r="P24" i="6"/>
  <c r="P166" i="6"/>
  <c r="P165" i="6"/>
  <c r="P164" i="6"/>
  <c r="P167" i="6"/>
  <c r="P168" i="6"/>
  <c r="P83" i="6"/>
  <c r="P169" i="6"/>
  <c r="P170" i="6"/>
  <c r="P172" i="6"/>
  <c r="P171" i="6"/>
  <c r="P84" i="6"/>
  <c r="P173" i="6"/>
  <c r="P85" i="6"/>
  <c r="P25" i="6"/>
  <c r="P26" i="6"/>
  <c r="P86" i="6"/>
  <c r="P54" i="6"/>
  <c r="P28" i="6"/>
  <c r="P27" i="6"/>
  <c r="P56" i="6"/>
  <c r="P55" i="6"/>
  <c r="P87" i="6"/>
  <c r="P29" i="6"/>
  <c r="P89" i="6"/>
  <c r="P90" i="6"/>
  <c r="P88" i="6"/>
  <c r="P57" i="6"/>
  <c r="P30" i="6"/>
  <c r="P91" i="6"/>
  <c r="P58" i="6"/>
  <c r="P31" i="6"/>
  <c r="P92" i="6"/>
  <c r="P93" i="6"/>
  <c r="P59" i="6"/>
  <c r="P60" i="6"/>
  <c r="P32" i="6"/>
  <c r="P61" i="6"/>
  <c r="P94" i="6"/>
  <c r="P62" i="6"/>
  <c r="P33" i="6"/>
  <c r="P95" i="6"/>
  <c r="P34" i="6"/>
  <c r="P96" i="6"/>
  <c r="P63" i="6"/>
  <c r="P97" i="6"/>
  <c r="P99" i="6"/>
  <c r="P98" i="6"/>
  <c r="P100" i="6"/>
  <c r="P101" i="6"/>
  <c r="P102" i="6"/>
  <c r="P64" i="6"/>
  <c r="P35" i="6"/>
  <c r="P36" i="6"/>
  <c r="P103" i="6"/>
  <c r="P65" i="6"/>
  <c r="P37" i="6"/>
  <c r="P104" i="6"/>
  <c r="P66" i="6"/>
  <c r="P105" i="6"/>
  <c r="P67" i="6"/>
  <c r="P68" i="6"/>
  <c r="P69" i="6"/>
  <c r="P70" i="6"/>
  <c r="P71" i="6"/>
  <c r="P38" i="6"/>
  <c r="P39" i="6"/>
  <c r="P40" i="6"/>
  <c r="P72" i="6"/>
  <c r="P41" i="6"/>
  <c r="P42" i="6"/>
  <c r="P43" i="6"/>
  <c r="P73" i="6"/>
  <c r="P44" i="6"/>
  <c r="P74" i="6"/>
  <c r="P45" i="6"/>
  <c r="P46" i="6"/>
  <c r="P75" i="6"/>
  <c r="P76" i="6"/>
  <c r="P47" i="6"/>
  <c r="P48" i="6"/>
  <c r="P77" i="6"/>
  <c r="P49" i="6"/>
  <c r="P50" i="6"/>
  <c r="P51" i="6"/>
  <c r="P52" i="6"/>
  <c r="P53" i="6"/>
  <c r="AG126" i="6"/>
  <c r="AG116" i="6"/>
  <c r="AG49" i="6"/>
  <c r="AG87" i="6"/>
  <c r="AG51" i="6"/>
  <c r="AG19" i="6"/>
  <c r="AG57" i="6"/>
  <c r="AG140" i="6"/>
  <c r="AG132" i="6"/>
  <c r="AG63" i="6"/>
  <c r="AG77" i="6"/>
  <c r="AG9" i="6"/>
  <c r="AG13" i="6"/>
  <c r="AG75" i="6"/>
  <c r="AG29" i="6"/>
  <c r="AG161" i="6"/>
  <c r="AG60" i="6"/>
  <c r="AG17" i="6"/>
  <c r="AG95" i="6"/>
  <c r="AG100" i="6"/>
  <c r="AG158" i="6"/>
  <c r="AG62" i="6"/>
  <c r="AG66" i="6"/>
  <c r="AG134" i="6"/>
  <c r="AG3" i="6"/>
  <c r="AG129" i="6"/>
  <c r="AG93" i="6"/>
  <c r="AG166" i="6"/>
  <c r="AG151" i="6"/>
  <c r="AG18" i="6"/>
  <c r="AG168" i="6"/>
  <c r="AG92" i="6"/>
  <c r="AG15" i="6"/>
  <c r="AG91" i="6"/>
  <c r="AG80" i="6"/>
  <c r="AG37" i="6"/>
  <c r="AG133" i="6"/>
  <c r="AG155" i="6"/>
  <c r="AG72" i="6"/>
  <c r="AG59" i="6"/>
  <c r="AG136" i="6"/>
  <c r="AG81" i="6"/>
  <c r="AG135" i="6"/>
  <c r="AG82" i="6"/>
  <c r="AG163" i="6"/>
  <c r="AG5" i="6"/>
  <c r="AG40" i="6"/>
  <c r="AG102" i="6"/>
  <c r="AG109" i="6"/>
  <c r="AG48" i="6"/>
  <c r="AG164" i="6"/>
  <c r="AG47" i="6"/>
  <c r="AG137" i="6"/>
  <c r="AG32" i="6"/>
  <c r="AG26" i="6"/>
  <c r="AG138" i="6"/>
  <c r="AG25" i="6"/>
  <c r="AG106" i="6"/>
  <c r="AG125" i="6"/>
  <c r="AG54" i="6"/>
  <c r="AG64" i="6"/>
  <c r="AG24" i="6"/>
  <c r="AG86" i="6"/>
  <c r="AG130" i="6"/>
  <c r="AG12" i="6"/>
  <c r="AG89" i="6"/>
  <c r="AG172" i="6"/>
  <c r="AG108" i="6"/>
  <c r="AG111" i="6"/>
  <c r="AG171" i="6"/>
  <c r="AG50" i="6"/>
  <c r="AG44" i="6"/>
  <c r="AG68" i="6"/>
  <c r="AG4" i="6"/>
  <c r="AG157" i="6"/>
  <c r="AG144" i="6"/>
  <c r="AG170" i="6"/>
  <c r="AG58" i="6"/>
  <c r="AG147" i="6"/>
  <c r="AG152" i="6"/>
  <c r="AG114" i="6"/>
  <c r="AG139" i="6"/>
  <c r="AG83" i="6"/>
  <c r="AG154" i="6"/>
  <c r="AG14" i="6"/>
  <c r="AG28" i="6"/>
  <c r="AG46" i="6"/>
  <c r="AG35" i="6"/>
  <c r="AG31" i="6"/>
  <c r="AG45" i="6"/>
  <c r="AG38" i="6"/>
  <c r="AG165" i="6"/>
  <c r="AG39" i="6"/>
  <c r="AG36" i="6"/>
  <c r="AG131" i="6"/>
  <c r="AG113" i="6"/>
  <c r="AG33" i="6"/>
  <c r="AG122" i="6"/>
  <c r="AG105" i="6"/>
  <c r="AG143" i="6"/>
  <c r="AG117" i="6"/>
  <c r="AG169" i="6"/>
  <c r="AG20" i="6"/>
  <c r="AG16" i="6"/>
  <c r="AG124" i="6"/>
  <c r="AG127" i="6"/>
  <c r="AG85" i="6"/>
  <c r="AG52" i="6"/>
  <c r="AG142" i="6"/>
  <c r="AG128" i="6"/>
  <c r="AG104" i="6"/>
  <c r="AG96" i="6"/>
  <c r="AG67" i="6"/>
  <c r="AG115" i="6"/>
  <c r="AG148" i="6"/>
  <c r="AG162" i="6"/>
  <c r="AG159" i="6"/>
  <c r="AG99" i="6"/>
  <c r="AG73" i="6"/>
  <c r="AG34" i="6"/>
  <c r="AG160" i="6"/>
  <c r="AG8" i="6"/>
  <c r="AG84" i="6"/>
  <c r="AG69" i="6"/>
  <c r="AG23" i="6"/>
  <c r="AG27" i="6"/>
  <c r="AG78" i="6"/>
  <c r="AG71" i="6"/>
  <c r="AG7" i="6"/>
  <c r="AG112" i="6"/>
  <c r="AG70" i="6"/>
  <c r="AG90" i="6"/>
  <c r="AG120" i="6"/>
  <c r="AG97" i="6"/>
  <c r="AG76" i="6"/>
  <c r="AG103" i="6"/>
  <c r="AG42" i="6"/>
  <c r="AG145" i="6"/>
  <c r="AG101" i="6"/>
  <c r="AG107" i="6"/>
  <c r="AG110" i="6"/>
  <c r="AG173" i="6"/>
  <c r="AG21" i="6"/>
  <c r="AG79" i="6"/>
  <c r="AG118" i="6"/>
  <c r="AG56" i="6"/>
  <c r="AG98" i="6"/>
  <c r="AG6" i="6"/>
  <c r="AG11" i="6"/>
  <c r="AG88" i="6"/>
  <c r="AG53" i="6"/>
  <c r="AG141" i="6"/>
  <c r="AG61" i="6"/>
  <c r="AG167" i="6"/>
  <c r="AG22" i="6"/>
  <c r="AG153" i="6"/>
  <c r="AG121" i="6"/>
  <c r="AG123" i="6"/>
  <c r="AG30" i="6"/>
  <c r="AG150" i="6"/>
  <c r="AG43" i="6"/>
  <c r="AG156" i="6"/>
  <c r="AG65" i="6"/>
  <c r="AG74" i="6"/>
  <c r="AG146" i="6"/>
  <c r="AG119" i="6"/>
  <c r="AG55" i="6"/>
  <c r="AG149" i="6"/>
  <c r="AG10" i="6"/>
  <c r="AG94" i="6"/>
  <c r="AG41" i="6"/>
  <c r="AF126" i="6"/>
  <c r="AF116" i="6"/>
  <c r="AF49" i="6"/>
  <c r="AF87" i="6"/>
  <c r="AF51" i="6"/>
  <c r="AF19" i="6"/>
  <c r="AF57" i="6"/>
  <c r="AF140" i="6"/>
  <c r="AF132" i="6"/>
  <c r="AF63" i="6"/>
  <c r="AF77" i="6"/>
  <c r="AF9" i="6"/>
  <c r="AF13" i="6"/>
  <c r="AF75" i="6"/>
  <c r="AF29" i="6"/>
  <c r="AF161" i="6"/>
  <c r="AF60" i="6"/>
  <c r="AF17" i="6"/>
  <c r="AF95" i="6"/>
  <c r="AF100" i="6"/>
  <c r="AF158" i="6"/>
  <c r="AF62" i="6"/>
  <c r="AF66" i="6"/>
  <c r="AF134" i="6"/>
  <c r="AF3" i="6"/>
  <c r="AF129" i="6"/>
  <c r="AF93" i="6"/>
  <c r="AF166" i="6"/>
  <c r="AF151" i="6"/>
  <c r="AF18" i="6"/>
  <c r="AF168" i="6"/>
  <c r="AF92" i="6"/>
  <c r="AF15" i="6"/>
  <c r="AF91" i="6"/>
  <c r="AF80" i="6"/>
  <c r="AF37" i="6"/>
  <c r="AF133" i="6"/>
  <c r="AF155" i="6"/>
  <c r="AF72" i="6"/>
  <c r="AF59" i="6"/>
  <c r="AF136" i="6"/>
  <c r="AF81" i="6"/>
  <c r="AF135" i="6"/>
  <c r="AF82" i="6"/>
  <c r="AF163" i="6"/>
  <c r="AF5" i="6"/>
  <c r="AF40" i="6"/>
  <c r="AF102" i="6"/>
  <c r="AF109" i="6"/>
  <c r="AF48" i="6"/>
  <c r="AF164" i="6"/>
  <c r="AF47" i="6"/>
  <c r="AF137" i="6"/>
  <c r="AF32" i="6"/>
  <c r="AF26" i="6"/>
  <c r="AF138" i="6"/>
  <c r="AF25" i="6"/>
  <c r="AF106" i="6"/>
  <c r="AF125" i="6"/>
  <c r="AF54" i="6"/>
  <c r="AF64" i="6"/>
  <c r="AF24" i="6"/>
  <c r="AF86" i="6"/>
  <c r="AF130" i="6"/>
  <c r="AF12" i="6"/>
  <c r="AF89" i="6"/>
  <c r="AF172" i="6"/>
  <c r="AF108" i="6"/>
  <c r="AF111" i="6"/>
  <c r="AF171" i="6"/>
  <c r="AF50" i="6"/>
  <c r="AF44" i="6"/>
  <c r="AF68" i="6"/>
  <c r="AF4" i="6"/>
  <c r="AF157" i="6"/>
  <c r="AF144" i="6"/>
  <c r="AF170" i="6"/>
  <c r="AF58" i="6"/>
  <c r="AF147" i="6"/>
  <c r="AF152" i="6"/>
  <c r="AF114" i="6"/>
  <c r="AF139" i="6"/>
  <c r="AF83" i="6"/>
  <c r="AF154" i="6"/>
  <c r="AF14" i="6"/>
  <c r="AF28" i="6"/>
  <c r="AF46" i="6"/>
  <c r="AF35" i="6"/>
  <c r="AF31" i="6"/>
  <c r="AF45" i="6"/>
  <c r="AF38" i="6"/>
  <c r="AF165" i="6"/>
  <c r="AF39" i="6"/>
  <c r="AF36" i="6"/>
  <c r="AF131" i="6"/>
  <c r="AF113" i="6"/>
  <c r="AF33" i="6"/>
  <c r="AF122" i="6"/>
  <c r="AF105" i="6"/>
  <c r="AF143" i="6"/>
  <c r="AF117" i="6"/>
  <c r="AF169" i="6"/>
  <c r="AF20" i="6"/>
  <c r="AF16" i="6"/>
  <c r="AF124" i="6"/>
  <c r="AF127" i="6"/>
  <c r="AF85" i="6"/>
  <c r="AF52" i="6"/>
  <c r="AF142" i="6"/>
  <c r="AF128" i="6"/>
  <c r="AF104" i="6"/>
  <c r="AF96" i="6"/>
  <c r="AF67" i="6"/>
  <c r="AF115" i="6"/>
  <c r="AF148" i="6"/>
  <c r="AF162" i="6"/>
  <c r="AF159" i="6"/>
  <c r="AF99" i="6"/>
  <c r="AF73" i="6"/>
  <c r="AF34" i="6"/>
  <c r="AF160" i="6"/>
  <c r="AF8" i="6"/>
  <c r="AF84" i="6"/>
  <c r="AF69" i="6"/>
  <c r="AF23" i="6"/>
  <c r="AF27" i="6"/>
  <c r="AF78" i="6"/>
  <c r="AF71" i="6"/>
  <c r="AF7" i="6"/>
  <c r="AF112" i="6"/>
  <c r="AF70" i="6"/>
  <c r="AF90" i="6"/>
  <c r="AF120" i="6"/>
  <c r="AF97" i="6"/>
  <c r="AF76" i="6"/>
  <c r="AF103" i="6"/>
  <c r="AF42" i="6"/>
  <c r="AF145" i="6"/>
  <c r="AF101" i="6"/>
  <c r="AF107" i="6"/>
  <c r="AF110" i="6"/>
  <c r="AF173" i="6"/>
  <c r="AF21" i="6"/>
  <c r="AF79" i="6"/>
  <c r="AF118" i="6"/>
  <c r="AF56" i="6"/>
  <c r="AF98" i="6"/>
  <c r="AF6" i="6"/>
  <c r="AF11" i="6"/>
  <c r="AF88" i="6"/>
  <c r="AF53" i="6"/>
  <c r="AF141" i="6"/>
  <c r="AF61" i="6"/>
  <c r="AF167" i="6"/>
  <c r="AF22" i="6"/>
  <c r="AF153" i="6"/>
  <c r="AF121" i="6"/>
  <c r="AF123" i="6"/>
  <c r="AF30" i="6"/>
  <c r="AF150" i="6"/>
  <c r="AF43" i="6"/>
  <c r="AF156" i="6"/>
  <c r="AF65" i="6"/>
  <c r="AF74" i="6"/>
  <c r="AF146" i="6"/>
  <c r="AF119" i="6"/>
  <c r="AF55" i="6"/>
  <c r="AF149" i="6"/>
  <c r="AF10" i="6"/>
  <c r="AF94" i="6"/>
  <c r="AF41" i="6"/>
  <c r="AE126" i="6"/>
  <c r="AE116" i="6"/>
  <c r="AE49" i="6"/>
  <c r="AE87" i="6"/>
  <c r="AE51" i="6"/>
  <c r="AE19" i="6"/>
  <c r="AE57" i="6"/>
  <c r="AE140" i="6"/>
  <c r="AE132" i="6"/>
  <c r="AE63" i="6"/>
  <c r="AE77" i="6"/>
  <c r="AE9" i="6"/>
  <c r="AE13" i="6"/>
  <c r="AE75" i="6"/>
  <c r="AE29" i="6"/>
  <c r="AE161" i="6"/>
  <c r="AE60" i="6"/>
  <c r="AE17" i="6"/>
  <c r="AE95" i="6"/>
  <c r="AE100" i="6"/>
  <c r="AE158" i="6"/>
  <c r="AE62" i="6"/>
  <c r="AE66" i="6"/>
  <c r="AE134" i="6"/>
  <c r="AE3" i="6"/>
  <c r="AE129" i="6"/>
  <c r="AE93" i="6"/>
  <c r="AE166" i="6"/>
  <c r="AE151" i="6"/>
  <c r="AE18" i="6"/>
  <c r="AE168" i="6"/>
  <c r="AE92" i="6"/>
  <c r="AE15" i="6"/>
  <c r="AE91" i="6"/>
  <c r="AE80" i="6"/>
  <c r="AE37" i="6"/>
  <c r="AE133" i="6"/>
  <c r="AE155" i="6"/>
  <c r="AE72" i="6"/>
  <c r="AE59" i="6"/>
  <c r="AE136" i="6"/>
  <c r="AE81" i="6"/>
  <c r="AE135" i="6"/>
  <c r="AE82" i="6"/>
  <c r="AE163" i="6"/>
  <c r="AE5" i="6"/>
  <c r="AE40" i="6"/>
  <c r="AE102" i="6"/>
  <c r="AE109" i="6"/>
  <c r="AE48" i="6"/>
  <c r="AE164" i="6"/>
  <c r="AE47" i="6"/>
  <c r="AE137" i="6"/>
  <c r="AE32" i="6"/>
  <c r="AE26" i="6"/>
  <c r="AE138" i="6"/>
  <c r="AE25" i="6"/>
  <c r="AE106" i="6"/>
  <c r="AE125" i="6"/>
  <c r="AE54" i="6"/>
  <c r="AE64" i="6"/>
  <c r="AE24" i="6"/>
  <c r="AE86" i="6"/>
  <c r="AE130" i="6"/>
  <c r="AE12" i="6"/>
  <c r="AE89" i="6"/>
  <c r="AE172" i="6"/>
  <c r="AE108" i="6"/>
  <c r="AE111" i="6"/>
  <c r="AE171" i="6"/>
  <c r="AE50" i="6"/>
  <c r="AE44" i="6"/>
  <c r="AE68" i="6"/>
  <c r="AE4" i="6"/>
  <c r="AE157" i="6"/>
  <c r="AE144" i="6"/>
  <c r="AE170" i="6"/>
  <c r="AE58" i="6"/>
  <c r="AE147" i="6"/>
  <c r="AE152" i="6"/>
  <c r="AE114" i="6"/>
  <c r="AE139" i="6"/>
  <c r="AE83" i="6"/>
  <c r="AE154" i="6"/>
  <c r="AE14" i="6"/>
  <c r="AE28" i="6"/>
  <c r="AE46" i="6"/>
  <c r="AE35" i="6"/>
  <c r="AE31" i="6"/>
  <c r="AE45" i="6"/>
  <c r="AE38" i="6"/>
  <c r="AE165" i="6"/>
  <c r="AE39" i="6"/>
  <c r="AE36" i="6"/>
  <c r="AE131" i="6"/>
  <c r="AE113" i="6"/>
  <c r="AE33" i="6"/>
  <c r="AE122" i="6"/>
  <c r="AE105" i="6"/>
  <c r="AE143" i="6"/>
  <c r="AE117" i="6"/>
  <c r="AE169" i="6"/>
  <c r="AE20" i="6"/>
  <c r="AE16" i="6"/>
  <c r="AE124" i="6"/>
  <c r="AE127" i="6"/>
  <c r="AE85" i="6"/>
  <c r="AE52" i="6"/>
  <c r="AE142" i="6"/>
  <c r="AE128" i="6"/>
  <c r="AE104" i="6"/>
  <c r="AE96" i="6"/>
  <c r="AE67" i="6"/>
  <c r="AE115" i="6"/>
  <c r="AE148" i="6"/>
  <c r="AE162" i="6"/>
  <c r="AE159" i="6"/>
  <c r="AE99" i="6"/>
  <c r="AE73" i="6"/>
  <c r="AE34" i="6"/>
  <c r="AE160" i="6"/>
  <c r="AE8" i="6"/>
  <c r="AE84" i="6"/>
  <c r="AE69" i="6"/>
  <c r="AE23" i="6"/>
  <c r="AE27" i="6"/>
  <c r="AE78" i="6"/>
  <c r="AE71" i="6"/>
  <c r="AE7" i="6"/>
  <c r="AE112" i="6"/>
  <c r="AE70" i="6"/>
  <c r="AE90" i="6"/>
  <c r="AE120" i="6"/>
  <c r="AE97" i="6"/>
  <c r="AE76" i="6"/>
  <c r="AE103" i="6"/>
  <c r="AE42" i="6"/>
  <c r="AE145" i="6"/>
  <c r="AE101" i="6"/>
  <c r="AE107" i="6"/>
  <c r="AE110" i="6"/>
  <c r="AE173" i="6"/>
  <c r="AE21" i="6"/>
  <c r="AE79" i="6"/>
  <c r="AE118" i="6"/>
  <c r="AE56" i="6"/>
  <c r="AE98" i="6"/>
  <c r="AE6" i="6"/>
  <c r="AE11" i="6"/>
  <c r="AE88" i="6"/>
  <c r="AE53" i="6"/>
  <c r="AE141" i="6"/>
  <c r="AE61" i="6"/>
  <c r="AE167" i="6"/>
  <c r="AE22" i="6"/>
  <c r="AE153" i="6"/>
  <c r="AE121" i="6"/>
  <c r="AE123" i="6"/>
  <c r="AE30" i="6"/>
  <c r="AE150" i="6"/>
  <c r="AE43" i="6"/>
  <c r="AE156" i="6"/>
  <c r="AE65" i="6"/>
  <c r="AE74" i="6"/>
  <c r="AE146" i="6"/>
  <c r="AE119" i="6"/>
  <c r="AE55" i="6"/>
  <c r="AE149" i="6"/>
  <c r="AE10" i="6"/>
  <c r="AE94" i="6"/>
  <c r="AE41" i="6"/>
  <c r="AD126" i="6"/>
  <c r="AD116" i="6"/>
  <c r="AD49" i="6"/>
  <c r="AD87" i="6"/>
  <c r="AD51" i="6"/>
  <c r="AD19" i="6"/>
  <c r="AD57" i="6"/>
  <c r="AD140" i="6"/>
  <c r="AD132" i="6"/>
  <c r="AD63" i="6"/>
  <c r="AD77" i="6"/>
  <c r="AD9" i="6"/>
  <c r="AD13" i="6"/>
  <c r="AD75" i="6"/>
  <c r="AD29" i="6"/>
  <c r="AD161" i="6"/>
  <c r="AD60" i="6"/>
  <c r="AD17" i="6"/>
  <c r="AD95" i="6"/>
  <c r="AD100" i="6"/>
  <c r="AD158" i="6"/>
  <c r="AD62" i="6"/>
  <c r="AD66" i="6"/>
  <c r="AD134" i="6"/>
  <c r="AD3" i="6"/>
  <c r="AD129" i="6"/>
  <c r="AD93" i="6"/>
  <c r="AD166" i="6"/>
  <c r="AD151" i="6"/>
  <c r="AD18" i="6"/>
  <c r="AD168" i="6"/>
  <c r="AD92" i="6"/>
  <c r="AD15" i="6"/>
  <c r="AD91" i="6"/>
  <c r="AD80" i="6"/>
  <c r="AD37" i="6"/>
  <c r="AD133" i="6"/>
  <c r="AD155" i="6"/>
  <c r="AD72" i="6"/>
  <c r="AD59" i="6"/>
  <c r="AD136" i="6"/>
  <c r="AD81" i="6"/>
  <c r="AD135" i="6"/>
  <c r="AD82" i="6"/>
  <c r="AD163" i="6"/>
  <c r="AD5" i="6"/>
  <c r="AD40" i="6"/>
  <c r="AD102" i="6"/>
  <c r="AD109" i="6"/>
  <c r="AD48" i="6"/>
  <c r="AD164" i="6"/>
  <c r="AD47" i="6"/>
  <c r="AD137" i="6"/>
  <c r="AD32" i="6"/>
  <c r="AD26" i="6"/>
  <c r="AD138" i="6"/>
  <c r="AD25" i="6"/>
  <c r="AD106" i="6"/>
  <c r="AD125" i="6"/>
  <c r="AD54" i="6"/>
  <c r="AD64" i="6"/>
  <c r="AD24" i="6"/>
  <c r="AD86" i="6"/>
  <c r="AD130" i="6"/>
  <c r="AD12" i="6"/>
  <c r="AD89" i="6"/>
  <c r="AD172" i="6"/>
  <c r="AD108" i="6"/>
  <c r="AD111" i="6"/>
  <c r="AD171" i="6"/>
  <c r="AD50" i="6"/>
  <c r="AD44" i="6"/>
  <c r="AD68" i="6"/>
  <c r="AD4" i="6"/>
  <c r="AD157" i="6"/>
  <c r="AD144" i="6"/>
  <c r="AD170" i="6"/>
  <c r="AD58" i="6"/>
  <c r="AD147" i="6"/>
  <c r="AD152" i="6"/>
  <c r="AD114" i="6"/>
  <c r="AD139" i="6"/>
  <c r="AD83" i="6"/>
  <c r="AD154" i="6"/>
  <c r="AD14" i="6"/>
  <c r="AD28" i="6"/>
  <c r="AD46" i="6"/>
  <c r="AD35" i="6"/>
  <c r="AD31" i="6"/>
  <c r="AD45" i="6"/>
  <c r="AD38" i="6"/>
  <c r="AD165" i="6"/>
  <c r="AD39" i="6"/>
  <c r="AD36" i="6"/>
  <c r="AD131" i="6"/>
  <c r="AD113" i="6"/>
  <c r="AD33" i="6"/>
  <c r="AD122" i="6"/>
  <c r="AD105" i="6"/>
  <c r="AD143" i="6"/>
  <c r="AD117" i="6"/>
  <c r="AD169" i="6"/>
  <c r="AD20" i="6"/>
  <c r="AD16" i="6"/>
  <c r="AD124" i="6"/>
  <c r="AD127" i="6"/>
  <c r="AD85" i="6"/>
  <c r="AD52" i="6"/>
  <c r="AD142" i="6"/>
  <c r="AD128" i="6"/>
  <c r="AD104" i="6"/>
  <c r="AD96" i="6"/>
  <c r="AD67" i="6"/>
  <c r="AD115" i="6"/>
  <c r="AD148" i="6"/>
  <c r="AD162" i="6"/>
  <c r="AD159" i="6"/>
  <c r="AD99" i="6"/>
  <c r="AD73" i="6"/>
  <c r="AD34" i="6"/>
  <c r="AD160" i="6"/>
  <c r="AD8" i="6"/>
  <c r="AD84" i="6"/>
  <c r="AD69" i="6"/>
  <c r="AD23" i="6"/>
  <c r="AD27" i="6"/>
  <c r="AD78" i="6"/>
  <c r="AD71" i="6"/>
  <c r="AD7" i="6"/>
  <c r="AD112" i="6"/>
  <c r="AD70" i="6"/>
  <c r="AD90" i="6"/>
  <c r="AD120" i="6"/>
  <c r="AD97" i="6"/>
  <c r="AD76" i="6"/>
  <c r="AD103" i="6"/>
  <c r="AD42" i="6"/>
  <c r="AD145" i="6"/>
  <c r="AD101" i="6"/>
  <c r="AD107" i="6"/>
  <c r="AD110" i="6"/>
  <c r="AD173" i="6"/>
  <c r="AD21" i="6"/>
  <c r="AD79" i="6"/>
  <c r="AD118" i="6"/>
  <c r="AD56" i="6"/>
  <c r="AD98" i="6"/>
  <c r="AD6" i="6"/>
  <c r="AD11" i="6"/>
  <c r="AD88" i="6"/>
  <c r="AD53" i="6"/>
  <c r="AD141" i="6"/>
  <c r="AD61" i="6"/>
  <c r="AD167" i="6"/>
  <c r="AD22" i="6"/>
  <c r="AD153" i="6"/>
  <c r="AD121" i="6"/>
  <c r="AD123" i="6"/>
  <c r="AD30" i="6"/>
  <c r="AD150" i="6"/>
  <c r="AD43" i="6"/>
  <c r="AD156" i="6"/>
  <c r="AD65" i="6"/>
  <c r="AD74" i="6"/>
  <c r="AD146" i="6"/>
  <c r="AD119" i="6"/>
  <c r="AD55" i="6"/>
  <c r="AD149" i="6"/>
  <c r="AD10" i="6"/>
  <c r="AD94" i="6"/>
  <c r="AD41" i="6"/>
  <c r="N15" i="4"/>
  <c r="O15" i="4"/>
  <c r="P15" i="4"/>
  <c r="Q15" i="4"/>
  <c r="R15" i="4"/>
  <c r="N16" i="4"/>
  <c r="O16" i="4"/>
  <c r="P16" i="4"/>
  <c r="Q16" i="4"/>
  <c r="R16" i="4"/>
  <c r="O17" i="4"/>
  <c r="P17" i="4"/>
  <c r="Q17" i="4"/>
  <c r="R17" i="4"/>
  <c r="O18" i="4"/>
  <c r="P18" i="4"/>
  <c r="Q18" i="4"/>
  <c r="R18" i="4"/>
  <c r="N19" i="4"/>
  <c r="O19" i="4"/>
  <c r="P19" i="4"/>
  <c r="Q19" i="4"/>
  <c r="R19" i="4"/>
  <c r="N20" i="4"/>
  <c r="O20" i="4"/>
  <c r="P20" i="4"/>
  <c r="Q20" i="4"/>
  <c r="R20" i="4"/>
  <c r="N21" i="4"/>
  <c r="O21" i="4"/>
  <c r="P21" i="4"/>
  <c r="Q21" i="4"/>
  <c r="R21" i="4"/>
  <c r="N22" i="4"/>
  <c r="O22" i="4"/>
  <c r="P22" i="4"/>
  <c r="Q22" i="4"/>
  <c r="R22" i="4"/>
  <c r="N23" i="4"/>
  <c r="O23" i="4"/>
  <c r="P23" i="4"/>
  <c r="Q23" i="4"/>
  <c r="R23" i="4"/>
  <c r="N24" i="4"/>
  <c r="O24" i="4"/>
  <c r="P24" i="4"/>
  <c r="Q24" i="4"/>
  <c r="R24" i="4"/>
  <c r="N25" i="4"/>
  <c r="O25" i="4"/>
  <c r="P25" i="4"/>
  <c r="Q25" i="4"/>
  <c r="R25" i="4"/>
  <c r="N26" i="4"/>
  <c r="O26" i="4"/>
  <c r="P26" i="4"/>
  <c r="Q26" i="4"/>
  <c r="R26" i="4"/>
  <c r="N27" i="4"/>
  <c r="O27" i="4"/>
  <c r="P27" i="4"/>
  <c r="Q27" i="4"/>
  <c r="R27" i="4"/>
  <c r="N28" i="4"/>
  <c r="O28" i="4"/>
  <c r="P28" i="4"/>
  <c r="Q28" i="4"/>
  <c r="R28" i="4"/>
  <c r="N29" i="4"/>
  <c r="O29" i="4"/>
  <c r="P29" i="4"/>
  <c r="Q29" i="4"/>
  <c r="R29" i="4"/>
  <c r="N30" i="4"/>
  <c r="O30" i="4"/>
  <c r="P30" i="4"/>
  <c r="Q30" i="4"/>
  <c r="R30" i="4"/>
  <c r="N31" i="4"/>
  <c r="O31" i="4"/>
  <c r="P31" i="4"/>
  <c r="Q31" i="4"/>
  <c r="R31" i="4"/>
  <c r="N32" i="4"/>
  <c r="O32" i="4"/>
  <c r="P32" i="4"/>
  <c r="Q32" i="4"/>
  <c r="R32" i="4"/>
  <c r="N33" i="4"/>
  <c r="O33" i="4"/>
  <c r="P33" i="4"/>
  <c r="Q33" i="4"/>
  <c r="R33" i="4"/>
  <c r="N34" i="4"/>
  <c r="O34" i="4"/>
  <c r="P34" i="4"/>
  <c r="Q34" i="4"/>
  <c r="R34" i="4"/>
  <c r="O35" i="4"/>
  <c r="P35" i="4"/>
  <c r="Q35" i="4"/>
  <c r="R35" i="4"/>
  <c r="O36" i="4"/>
  <c r="P36" i="4"/>
  <c r="Q36" i="4"/>
  <c r="R36" i="4"/>
  <c r="N37" i="4"/>
  <c r="O37" i="4"/>
  <c r="P37" i="4"/>
  <c r="Q37" i="4"/>
  <c r="R37" i="4"/>
  <c r="N38" i="4"/>
  <c r="O38" i="4"/>
  <c r="P38" i="4"/>
  <c r="Q38" i="4"/>
  <c r="R38" i="4"/>
  <c r="N39" i="4"/>
  <c r="O39" i="4"/>
  <c r="P39" i="4"/>
  <c r="Q39" i="4"/>
  <c r="R39" i="4"/>
  <c r="N40" i="4"/>
  <c r="O40" i="4"/>
  <c r="P40" i="4"/>
  <c r="Q40" i="4"/>
  <c r="R40" i="4"/>
  <c r="N41" i="4"/>
  <c r="O41" i="4"/>
  <c r="P41" i="4"/>
  <c r="Q41" i="4"/>
  <c r="R41" i="4"/>
  <c r="N42" i="4"/>
  <c r="O42" i="4"/>
  <c r="P42" i="4"/>
  <c r="Q42" i="4"/>
  <c r="R42" i="4"/>
  <c r="O43" i="4"/>
  <c r="P43" i="4"/>
  <c r="Q43" i="4"/>
  <c r="R43" i="4"/>
  <c r="O44" i="4"/>
  <c r="P44" i="4"/>
  <c r="Q44" i="4"/>
  <c r="R44" i="4"/>
  <c r="N45" i="4"/>
  <c r="O45" i="4"/>
  <c r="P45" i="4"/>
  <c r="Q45" i="4"/>
  <c r="R45" i="4"/>
  <c r="N46" i="4"/>
  <c r="O46" i="4"/>
  <c r="P46" i="4"/>
  <c r="Q46" i="4"/>
  <c r="R46" i="4"/>
  <c r="N47" i="4"/>
  <c r="O47" i="4"/>
  <c r="P47" i="4"/>
  <c r="Q47" i="4"/>
  <c r="R47" i="4"/>
  <c r="N48" i="4"/>
  <c r="O48" i="4"/>
  <c r="P48" i="4"/>
  <c r="Q48" i="4"/>
  <c r="R48" i="4"/>
  <c r="N49" i="4"/>
  <c r="O49" i="4"/>
  <c r="P49" i="4"/>
  <c r="Q49" i="4"/>
  <c r="R49" i="4"/>
  <c r="N50" i="4"/>
  <c r="O50" i="4"/>
  <c r="P50" i="4"/>
  <c r="Q50" i="4"/>
  <c r="R50" i="4"/>
  <c r="O51" i="4"/>
  <c r="P51" i="4"/>
  <c r="Q51" i="4"/>
  <c r="R51" i="4"/>
  <c r="O52" i="4"/>
  <c r="P52" i="4"/>
  <c r="Q52" i="4"/>
  <c r="R52" i="4"/>
  <c r="N53" i="4"/>
  <c r="O53" i="4"/>
  <c r="P53" i="4"/>
  <c r="Q53" i="4"/>
  <c r="R53" i="4"/>
  <c r="N54" i="4"/>
  <c r="O54" i="4"/>
  <c r="P54" i="4"/>
  <c r="Q54" i="4"/>
  <c r="R54" i="4"/>
  <c r="N55" i="4"/>
  <c r="O55" i="4"/>
  <c r="P55" i="4"/>
  <c r="Q55" i="4"/>
  <c r="R55" i="4"/>
  <c r="N56" i="4"/>
  <c r="O56" i="4"/>
  <c r="P56" i="4"/>
  <c r="Q56" i="4"/>
  <c r="R56" i="4"/>
  <c r="N57" i="4"/>
  <c r="O57" i="4"/>
  <c r="P57" i="4"/>
  <c r="Q57" i="4"/>
  <c r="R57" i="4"/>
  <c r="N58" i="4"/>
  <c r="O58" i="4"/>
  <c r="P58" i="4"/>
  <c r="Q58" i="4"/>
  <c r="R58" i="4"/>
  <c r="N59" i="4"/>
  <c r="O59" i="4"/>
  <c r="P59" i="4"/>
  <c r="Q59" i="4"/>
  <c r="R59" i="4"/>
  <c r="N60" i="4"/>
  <c r="O60" i="4"/>
  <c r="P60" i="4"/>
  <c r="Q60" i="4"/>
  <c r="R60" i="4"/>
  <c r="N61" i="4"/>
  <c r="O61" i="4"/>
  <c r="P61" i="4"/>
  <c r="Q61" i="4"/>
  <c r="R61" i="4"/>
  <c r="O62" i="4"/>
  <c r="P62" i="4"/>
  <c r="Q62" i="4"/>
  <c r="R62" i="4"/>
  <c r="O63" i="4"/>
  <c r="P63" i="4"/>
  <c r="Q63" i="4"/>
  <c r="R63" i="4"/>
  <c r="N64" i="4"/>
  <c r="O64" i="4"/>
  <c r="P64" i="4"/>
  <c r="Q64" i="4"/>
  <c r="R64" i="4"/>
  <c r="N65" i="4"/>
  <c r="O65" i="4"/>
  <c r="P65" i="4"/>
  <c r="Q65" i="4"/>
  <c r="R65" i="4"/>
  <c r="P66" i="4"/>
  <c r="Q66" i="4"/>
  <c r="R66" i="4"/>
  <c r="P67" i="4"/>
  <c r="Q67" i="4"/>
  <c r="R67" i="4"/>
  <c r="N68" i="4"/>
  <c r="O68" i="4"/>
  <c r="P68" i="4"/>
  <c r="Q68" i="4"/>
  <c r="R68" i="4"/>
  <c r="N69" i="4"/>
  <c r="O69" i="4"/>
  <c r="P69" i="4"/>
  <c r="Q69" i="4"/>
  <c r="R69" i="4"/>
  <c r="N70" i="4"/>
  <c r="O70" i="4"/>
  <c r="P70" i="4"/>
  <c r="Q70" i="4"/>
  <c r="R70" i="4"/>
  <c r="N71" i="4"/>
  <c r="O71" i="4"/>
  <c r="P71" i="4"/>
  <c r="Q71" i="4"/>
  <c r="R71" i="4"/>
  <c r="N72" i="4"/>
  <c r="O72" i="4"/>
  <c r="P72" i="4"/>
  <c r="Q72" i="4"/>
  <c r="R72" i="4"/>
  <c r="N73" i="4"/>
  <c r="O73" i="4"/>
  <c r="P73" i="4"/>
  <c r="Q73" i="4"/>
  <c r="R73" i="4"/>
  <c r="N74" i="4"/>
  <c r="O74" i="4"/>
  <c r="P74" i="4"/>
  <c r="Q74" i="4"/>
  <c r="R74" i="4"/>
  <c r="N75" i="4"/>
  <c r="O75" i="4"/>
  <c r="P75" i="4"/>
  <c r="Q75" i="4"/>
  <c r="R75" i="4"/>
  <c r="N76" i="4"/>
  <c r="O76" i="4"/>
  <c r="P76" i="4"/>
  <c r="Q76" i="4"/>
  <c r="R76" i="4"/>
  <c r="N77" i="4"/>
  <c r="O77" i="4"/>
  <c r="P77" i="4"/>
  <c r="Q77" i="4"/>
  <c r="R77" i="4"/>
  <c r="N78" i="4"/>
  <c r="O78" i="4"/>
  <c r="P78" i="4"/>
  <c r="Q78" i="4"/>
  <c r="R78" i="4"/>
  <c r="N79" i="4"/>
  <c r="O79" i="4"/>
  <c r="P79" i="4"/>
  <c r="Q79" i="4"/>
  <c r="R79" i="4"/>
  <c r="N80" i="4"/>
  <c r="O80" i="4"/>
  <c r="P80" i="4"/>
  <c r="Q80" i="4"/>
  <c r="R80" i="4"/>
  <c r="N81" i="4"/>
  <c r="O81" i="4"/>
  <c r="P81" i="4"/>
  <c r="Q81" i="4"/>
  <c r="R81" i="4"/>
  <c r="N82" i="4"/>
  <c r="O82" i="4"/>
  <c r="P82" i="4"/>
  <c r="Q82" i="4"/>
  <c r="R82" i="4"/>
  <c r="N83" i="4"/>
  <c r="O83" i="4"/>
  <c r="P83" i="4"/>
  <c r="Q83" i="4"/>
  <c r="R83" i="4"/>
  <c r="O84" i="4"/>
  <c r="Q84" i="4"/>
  <c r="R84" i="4"/>
  <c r="Q85" i="4"/>
  <c r="R85" i="4"/>
  <c r="N86" i="4"/>
  <c r="O86" i="4"/>
  <c r="P86" i="4"/>
  <c r="Q86" i="4"/>
  <c r="R86" i="4"/>
  <c r="N87" i="4"/>
  <c r="O87" i="4"/>
  <c r="P87" i="4"/>
  <c r="Q87" i="4"/>
  <c r="R87" i="4"/>
  <c r="N88" i="4"/>
  <c r="O88" i="4"/>
  <c r="P88" i="4"/>
  <c r="Q88" i="4"/>
  <c r="R88" i="4"/>
  <c r="N89" i="4"/>
  <c r="O89" i="4"/>
  <c r="P89" i="4"/>
  <c r="Q89" i="4"/>
  <c r="R89" i="4"/>
  <c r="N90" i="4"/>
  <c r="O90" i="4"/>
  <c r="P90" i="4"/>
  <c r="Q90" i="4"/>
  <c r="R90" i="4"/>
  <c r="N91" i="4"/>
  <c r="O91" i="4"/>
  <c r="P91" i="4"/>
  <c r="Q91" i="4"/>
  <c r="R91" i="4"/>
  <c r="N92" i="4"/>
  <c r="O92" i="4"/>
  <c r="P92" i="4"/>
  <c r="Q92" i="4"/>
  <c r="R92" i="4"/>
  <c r="N93" i="4"/>
  <c r="O93" i="4"/>
  <c r="P93" i="4"/>
  <c r="Q93" i="4"/>
  <c r="R93" i="4"/>
  <c r="N94" i="4"/>
  <c r="O94" i="4"/>
  <c r="P94" i="4"/>
  <c r="Q94" i="4"/>
  <c r="R94" i="4"/>
  <c r="N95" i="4"/>
  <c r="O95" i="4"/>
  <c r="P95" i="4"/>
  <c r="Q95" i="4"/>
  <c r="R95" i="4"/>
  <c r="N96" i="4"/>
  <c r="O96" i="4"/>
  <c r="P96" i="4"/>
  <c r="Q96" i="4"/>
  <c r="R96" i="4"/>
  <c r="O97" i="4"/>
  <c r="Q97" i="4"/>
  <c r="R97" i="4"/>
  <c r="O98" i="4"/>
  <c r="Q98" i="4"/>
  <c r="R98" i="4"/>
  <c r="N99" i="4"/>
  <c r="O99" i="4"/>
  <c r="P99" i="4"/>
  <c r="Q99" i="4"/>
  <c r="R99" i="4"/>
  <c r="N100" i="4"/>
  <c r="O100" i="4"/>
  <c r="P100" i="4"/>
  <c r="Q100" i="4"/>
  <c r="R100" i="4"/>
  <c r="N101" i="4"/>
  <c r="O101" i="4"/>
  <c r="P101" i="4"/>
  <c r="Q101" i="4"/>
  <c r="R101" i="4"/>
  <c r="N3" i="4"/>
  <c r="O3" i="4"/>
  <c r="P3" i="4"/>
  <c r="Q3" i="4"/>
  <c r="R3" i="4"/>
  <c r="N4" i="4"/>
  <c r="O4" i="4"/>
  <c r="P4" i="4"/>
  <c r="Q4" i="4"/>
  <c r="R4" i="4"/>
  <c r="N5" i="4"/>
  <c r="O5" i="4"/>
  <c r="P5" i="4"/>
  <c r="Q5" i="4"/>
  <c r="R5" i="4"/>
  <c r="N6" i="4"/>
  <c r="O6" i="4"/>
  <c r="P6" i="4"/>
  <c r="Q6" i="4"/>
  <c r="R6" i="4"/>
  <c r="O7" i="4"/>
  <c r="P7" i="4"/>
  <c r="Q7" i="4"/>
  <c r="R7" i="4"/>
  <c r="O8" i="4"/>
  <c r="P8" i="4"/>
  <c r="Q8" i="4"/>
  <c r="R8" i="4"/>
  <c r="N9" i="4"/>
  <c r="O9" i="4"/>
  <c r="P9" i="4"/>
  <c r="Q9" i="4"/>
  <c r="R9" i="4"/>
  <c r="N10" i="4"/>
  <c r="O10" i="4"/>
  <c r="P10" i="4"/>
  <c r="Q10" i="4"/>
  <c r="R10" i="4"/>
  <c r="N11" i="4"/>
  <c r="O11" i="4"/>
  <c r="P11" i="4"/>
  <c r="Q11" i="4"/>
  <c r="R11" i="4"/>
  <c r="N12" i="4"/>
  <c r="O12" i="4"/>
  <c r="P12" i="4"/>
  <c r="Q12" i="4"/>
  <c r="R12" i="4"/>
  <c r="N13" i="4"/>
  <c r="O13" i="4"/>
  <c r="P13" i="4"/>
  <c r="Q13" i="4"/>
  <c r="R13" i="4"/>
  <c r="N14" i="4"/>
  <c r="O14" i="4"/>
  <c r="P14" i="4"/>
  <c r="Q14" i="4"/>
  <c r="R14" i="4"/>
  <c r="O2" i="4"/>
  <c r="P2" i="4"/>
  <c r="Q2" i="4"/>
  <c r="R2" i="4"/>
  <c r="N2" i="4"/>
  <c r="G29" i="4"/>
  <c r="N7" i="4" s="1"/>
  <c r="G34" i="4"/>
  <c r="N8" i="4" s="1"/>
  <c r="G79" i="4"/>
  <c r="N17" i="4" s="1"/>
  <c r="G84" i="4"/>
  <c r="N18" i="4" s="1"/>
  <c r="G169" i="4"/>
  <c r="N35" i="4" s="1"/>
  <c r="G174" i="4"/>
  <c r="N36" i="4" s="1"/>
  <c r="G209" i="4"/>
  <c r="N43" i="4" s="1"/>
  <c r="G214" i="4"/>
  <c r="N44" i="4" s="1"/>
  <c r="G249" i="4"/>
  <c r="N51" i="4" s="1"/>
  <c r="G254" i="4"/>
  <c r="N52" i="4" s="1"/>
  <c r="G304" i="4"/>
  <c r="N62" i="4" s="1"/>
  <c r="G309" i="4"/>
  <c r="N63" i="4" s="1"/>
  <c r="G324" i="4"/>
  <c r="O66" i="4" s="1"/>
  <c r="G329" i="4"/>
  <c r="O67" i="4" s="1"/>
  <c r="G414" i="4"/>
  <c r="P84" i="4" s="1"/>
  <c r="G419" i="4"/>
  <c r="P85" i="4" s="1"/>
  <c r="G479" i="4"/>
  <c r="P97" i="4" s="1"/>
  <c r="G484" i="4"/>
  <c r="P98" i="4" s="1"/>
  <c r="G3" i="2"/>
  <c r="H3" i="2"/>
  <c r="I3" i="2"/>
  <c r="J3" i="2"/>
  <c r="G4" i="2"/>
  <c r="H4" i="2"/>
  <c r="I4" i="2"/>
  <c r="J4" i="2"/>
  <c r="G5" i="2"/>
  <c r="H5" i="2"/>
  <c r="I5" i="2"/>
  <c r="J5" i="2"/>
  <c r="G6" i="2"/>
  <c r="H6" i="2"/>
  <c r="I6" i="2"/>
  <c r="J6" i="2"/>
  <c r="H2" i="2"/>
  <c r="I2" i="2"/>
  <c r="J2" i="2"/>
  <c r="G2" i="2"/>
  <c r="B4" i="1"/>
  <c r="B5" i="1"/>
  <c r="B12" i="1"/>
  <c r="B13" i="1"/>
  <c r="B27" i="1"/>
  <c r="B28" i="1"/>
  <c r="B55" i="1"/>
  <c r="B56" i="1"/>
  <c r="B72" i="1"/>
  <c r="B73" i="1"/>
  <c r="B83" i="1"/>
  <c r="B84" i="1"/>
  <c r="B85" i="1"/>
  <c r="B87" i="1"/>
  <c r="B88" i="1"/>
  <c r="B92" i="1"/>
  <c r="B93" i="1"/>
  <c r="B96" i="1"/>
  <c r="B97" i="1"/>
  <c r="B98" i="1"/>
  <c r="B100" i="1"/>
  <c r="B101" i="1"/>
  <c r="L42" i="8" l="1"/>
  <c r="H42" i="8" s="1"/>
  <c r="T196" i="6"/>
  <c r="Y1005" i="6"/>
  <c r="Y297" i="6"/>
  <c r="Y215" i="6"/>
  <c r="Y280" i="6"/>
  <c r="Y268" i="6"/>
  <c r="Y266" i="6"/>
  <c r="Y264" i="6"/>
  <c r="Y216" i="6"/>
  <c r="Y338" i="6"/>
  <c r="Y330" i="6"/>
  <c r="Y322" i="6"/>
  <c r="Y314" i="6"/>
  <c r="Y306" i="6"/>
  <c r="Y432" i="6"/>
  <c r="Y363" i="6"/>
  <c r="Y271" i="6"/>
  <c r="Y353" i="6"/>
  <c r="Y278" i="6"/>
  <c r="Y276" i="6"/>
  <c r="Y662" i="6"/>
  <c r="Y262" i="6"/>
  <c r="Y260" i="6"/>
  <c r="Y238" i="6"/>
  <c r="Y236" i="6"/>
  <c r="Y277" i="6"/>
  <c r="Y766" i="6"/>
  <c r="Y627" i="6"/>
  <c r="Y223" i="6"/>
  <c r="Y354" i="6"/>
  <c r="Y285" i="6"/>
  <c r="Y279" i="6"/>
  <c r="Y269" i="6"/>
  <c r="Y247" i="6"/>
  <c r="Y245" i="6"/>
  <c r="Y231" i="6"/>
  <c r="Y229" i="6"/>
  <c r="Y263" i="6"/>
  <c r="Y255" i="6"/>
  <c r="Y251" i="6"/>
  <c r="Y249" i="6"/>
  <c r="Y239" i="6"/>
  <c r="Y235" i="6"/>
  <c r="Y233" i="6"/>
  <c r="Y345" i="6"/>
  <c r="Y337" i="6"/>
  <c r="Y351" i="6"/>
  <c r="Y319" i="6"/>
  <c r="Y303" i="6"/>
  <c r="Y283" i="6"/>
  <c r="Y281" i="6"/>
  <c r="Y258" i="6"/>
  <c r="Y256" i="6"/>
  <c r="Y254" i="6"/>
  <c r="Y252" i="6"/>
  <c r="Y227" i="6"/>
  <c r="Y225" i="6"/>
  <c r="Y221" i="6"/>
  <c r="Y217" i="6"/>
  <c r="Y343" i="6"/>
  <c r="Y341" i="6"/>
  <c r="Y339" i="6"/>
  <c r="Y335" i="6"/>
  <c r="Y329" i="6"/>
  <c r="Y327" i="6"/>
  <c r="Y321" i="6"/>
  <c r="Y313" i="6"/>
  <c r="Y305" i="6"/>
  <c r="Y250" i="6"/>
  <c r="Y248" i="6"/>
  <c r="Y246" i="6"/>
  <c r="Y244" i="6"/>
  <c r="Y219" i="6"/>
  <c r="Y295" i="6"/>
  <c r="Y275" i="6"/>
  <c r="Y273" i="6"/>
  <c r="Y242" i="6"/>
  <c r="Y240" i="6"/>
  <c r="Y957" i="6"/>
  <c r="Y407" i="6"/>
  <c r="Y401" i="6"/>
  <c r="Y399" i="6"/>
  <c r="Y395" i="6"/>
  <c r="Y393" i="6"/>
  <c r="Y383" i="6"/>
  <c r="Y375" i="6"/>
  <c r="Y289" i="6"/>
  <c r="Y267" i="6"/>
  <c r="Y265" i="6"/>
  <c r="Y261" i="6"/>
  <c r="Y234" i="6"/>
  <c r="Y232" i="6"/>
  <c r="Y230" i="6"/>
  <c r="Y228" i="6"/>
  <c r="Y346" i="6"/>
  <c r="Y328" i="6"/>
  <c r="Y320" i="6"/>
  <c r="Y304" i="6"/>
  <c r="Y284" i="6"/>
  <c r="Y282" i="6"/>
  <c r="Y259" i="6"/>
  <c r="Y257" i="6"/>
  <c r="Y253" i="6"/>
  <c r="Y226" i="6"/>
  <c r="Y224" i="6"/>
  <c r="Y222" i="6"/>
  <c r="Y220" i="6"/>
  <c r="Y359" i="6"/>
  <c r="Y218" i="6"/>
  <c r="Y560" i="6"/>
  <c r="Y361" i="6"/>
  <c r="Y311" i="6"/>
  <c r="Y274" i="6"/>
  <c r="Y272" i="6"/>
  <c r="Y270" i="6"/>
  <c r="Y243" i="6"/>
  <c r="Y241" i="6"/>
  <c r="Y237" i="6"/>
  <c r="Y944" i="6"/>
  <c r="Y660" i="6"/>
  <c r="Y658" i="6"/>
  <c r="Y656" i="6"/>
  <c r="Y654" i="6"/>
  <c r="Y652" i="6"/>
  <c r="Y646" i="6"/>
  <c r="Y630" i="6"/>
  <c r="Y628" i="6"/>
  <c r="Y626" i="6"/>
  <c r="Y624" i="6"/>
  <c r="Y622" i="6"/>
  <c r="Y620" i="6"/>
  <c r="Y504" i="6"/>
  <c r="Y552" i="6"/>
  <c r="Y414" i="6"/>
  <c r="Y349" i="6"/>
  <c r="Y347" i="6"/>
  <c r="Y336" i="6"/>
  <c r="Y318" i="6"/>
  <c r="Y316" i="6"/>
  <c r="Y976" i="6"/>
  <c r="Y851" i="6"/>
  <c r="Y843" i="6"/>
  <c r="Y367" i="6"/>
  <c r="Y420" i="6"/>
  <c r="Y418" i="6"/>
  <c r="Y416" i="6"/>
  <c r="Y408" i="6"/>
  <c r="Y398" i="6"/>
  <c r="Y396" i="6"/>
  <c r="Y358" i="6"/>
  <c r="Y356" i="6"/>
  <c r="Y325" i="6"/>
  <c r="Y323" i="6"/>
  <c r="Y312" i="6"/>
  <c r="Y301" i="6"/>
  <c r="Y299" i="6"/>
  <c r="Y928" i="6"/>
  <c r="Y678" i="6"/>
  <c r="Y702" i="6"/>
  <c r="Y614" i="6"/>
  <c r="Y370" i="6"/>
  <c r="Y368" i="6"/>
  <c r="Y352" i="6"/>
  <c r="Y334" i="6"/>
  <c r="Y332" i="6"/>
  <c r="Y310" i="6"/>
  <c r="Y308" i="6"/>
  <c r="Y762" i="6"/>
  <c r="Y760" i="6"/>
  <c r="Y758" i="6"/>
  <c r="Y754" i="6"/>
  <c r="Y752" i="6"/>
  <c r="Y750" i="6"/>
  <c r="Y746" i="6"/>
  <c r="Y744" i="6"/>
  <c r="Y734" i="6"/>
  <c r="Y730" i="6"/>
  <c r="Y728" i="6"/>
  <c r="Y726" i="6"/>
  <c r="Y722" i="6"/>
  <c r="Y720" i="6"/>
  <c r="Y718" i="6"/>
  <c r="Y714" i="6"/>
  <c r="Y712" i="6"/>
  <c r="Y293" i="6"/>
  <c r="Y291" i="6"/>
  <c r="Y993" i="6"/>
  <c r="Y1013" i="6"/>
  <c r="Y965" i="6"/>
  <c r="Y435" i="6"/>
  <c r="Y350" i="6"/>
  <c r="Y348" i="6"/>
  <c r="Y317" i="6"/>
  <c r="Y315" i="6"/>
  <c r="Y302" i="6"/>
  <c r="Y822" i="6"/>
  <c r="Y790" i="6"/>
  <c r="Y431" i="6"/>
  <c r="Y423" i="6"/>
  <c r="Y415" i="6"/>
  <c r="Y391" i="6"/>
  <c r="Y389" i="6"/>
  <c r="Y357" i="6"/>
  <c r="Y355" i="6"/>
  <c r="Y344" i="6"/>
  <c r="Y326" i="6"/>
  <c r="Y324" i="6"/>
  <c r="Y300" i="6"/>
  <c r="Y298" i="6"/>
  <c r="Y296" i="6"/>
  <c r="Y927" i="6"/>
  <c r="Y921" i="6"/>
  <c r="Y889" i="6"/>
  <c r="Y887" i="6"/>
  <c r="Y885" i="6"/>
  <c r="Y878" i="6"/>
  <c r="Y870" i="6"/>
  <c r="Y854" i="6"/>
  <c r="Y846" i="6"/>
  <c r="Y838" i="6"/>
  <c r="Y727" i="6"/>
  <c r="Y719" i="6"/>
  <c r="Y449" i="6"/>
  <c r="Y424" i="6"/>
  <c r="Y403" i="6"/>
  <c r="Y333" i="6"/>
  <c r="Y331" i="6"/>
  <c r="Y309" i="6"/>
  <c r="Y307" i="6"/>
  <c r="Y294" i="6"/>
  <c r="Y362" i="6"/>
  <c r="Y360" i="6"/>
  <c r="Y342" i="6"/>
  <c r="Y340" i="6"/>
  <c r="Y292" i="6"/>
  <c r="Y290" i="6"/>
  <c r="Y884" i="6"/>
  <c r="Y972" i="6"/>
  <c r="Y970" i="6"/>
  <c r="Y968" i="6"/>
  <c r="Y964" i="6"/>
  <c r="Y962" i="6"/>
  <c r="Y960" i="6"/>
  <c r="Y952" i="6"/>
  <c r="Y950" i="6"/>
  <c r="Y936" i="6"/>
  <c r="Y814" i="6"/>
  <c r="Y806" i="6"/>
  <c r="Y698" i="6"/>
  <c r="Y696" i="6"/>
  <c r="Y694" i="6"/>
  <c r="Y690" i="6"/>
  <c r="Y688" i="6"/>
  <c r="Y682" i="6"/>
  <c r="Y669" i="6"/>
  <c r="Y667" i="6"/>
  <c r="Y570" i="6"/>
  <c r="Y512" i="6"/>
  <c r="Y510" i="6"/>
  <c r="Y440" i="6"/>
  <c r="Y469" i="6"/>
  <c r="Y463" i="6"/>
  <c r="Y429" i="6"/>
  <c r="Y427" i="6"/>
  <c r="Y412" i="6"/>
  <c r="Y410" i="6"/>
  <c r="Y387" i="6"/>
  <c r="Y385" i="6"/>
  <c r="Y381" i="6"/>
  <c r="Y369" i="6"/>
  <c r="Y956" i="6"/>
  <c r="Y954" i="6"/>
  <c r="Y898" i="6"/>
  <c r="Y875" i="6"/>
  <c r="Y777" i="6"/>
  <c r="Y775" i="6"/>
  <c r="Y771" i="6"/>
  <c r="Y769" i="6"/>
  <c r="Y767" i="6"/>
  <c r="Y759" i="6"/>
  <c r="Y751" i="6"/>
  <c r="Y673" i="6"/>
  <c r="Y671" i="6"/>
  <c r="Y659" i="6"/>
  <c r="Y635" i="6"/>
  <c r="Y548" i="6"/>
  <c r="Y546" i="6"/>
  <c r="Y544" i="6"/>
  <c r="Y540" i="6"/>
  <c r="Y538" i="6"/>
  <c r="Y536" i="6"/>
  <c r="Y532" i="6"/>
  <c r="Y528" i="6"/>
  <c r="Y520" i="6"/>
  <c r="Y516" i="6"/>
  <c r="Y514" i="6"/>
  <c r="Y483" i="6"/>
  <c r="Y481" i="6"/>
  <c r="Y475" i="6"/>
  <c r="Y473" i="6"/>
  <c r="Y457" i="6"/>
  <c r="Y443" i="6"/>
  <c r="Y441" i="6"/>
  <c r="Y406" i="6"/>
  <c r="Y404" i="6"/>
  <c r="Y379" i="6"/>
  <c r="Y377" i="6"/>
  <c r="Y373" i="6"/>
  <c r="Y924" i="6"/>
  <c r="Y922" i="6"/>
  <c r="Y920" i="6"/>
  <c r="Y912" i="6"/>
  <c r="Y910" i="6"/>
  <c r="Y908" i="6"/>
  <c r="Y904" i="6"/>
  <c r="Y892" i="6"/>
  <c r="Y888" i="6"/>
  <c r="Y781" i="6"/>
  <c r="Y867" i="6"/>
  <c r="Y859" i="6"/>
  <c r="Y763" i="6"/>
  <c r="Y761" i="6"/>
  <c r="Y747" i="6"/>
  <c r="Y745" i="6"/>
  <c r="Y743" i="6"/>
  <c r="Y739" i="6"/>
  <c r="Y737" i="6"/>
  <c r="Y735" i="6"/>
  <c r="Y641" i="6"/>
  <c r="Y639" i="6"/>
  <c r="Y436" i="6"/>
  <c r="Y434" i="6"/>
  <c r="Y421" i="6"/>
  <c r="Y419" i="6"/>
  <c r="Y417" i="6"/>
  <c r="Y402" i="6"/>
  <c r="Y400" i="6"/>
  <c r="Y371" i="6"/>
  <c r="Y901" i="6"/>
  <c r="Y893" i="6"/>
  <c r="Y835" i="6"/>
  <c r="Y827" i="6"/>
  <c r="Y819" i="6"/>
  <c r="Y811" i="6"/>
  <c r="Y789" i="6"/>
  <c r="Y774" i="6"/>
  <c r="Y731" i="6"/>
  <c r="Y729" i="6"/>
  <c r="Y715" i="6"/>
  <c r="Y713" i="6"/>
  <c r="Y711" i="6"/>
  <c r="Y707" i="6"/>
  <c r="Y705" i="6"/>
  <c r="Y703" i="6"/>
  <c r="Y693" i="6"/>
  <c r="Y691" i="6"/>
  <c r="Y685" i="6"/>
  <c r="Y683" i="6"/>
  <c r="Y559" i="6"/>
  <c r="Y470" i="6"/>
  <c r="Y430" i="6"/>
  <c r="Y413" i="6"/>
  <c r="Y394" i="6"/>
  <c r="Y392" i="6"/>
  <c r="Y390" i="6"/>
  <c r="Y388" i="6"/>
  <c r="Y981" i="6"/>
  <c r="Y977" i="6"/>
  <c r="Y973" i="6"/>
  <c r="Y969" i="6"/>
  <c r="Y947" i="6"/>
  <c r="Y931" i="6"/>
  <c r="Y862" i="6"/>
  <c r="Y803" i="6"/>
  <c r="Y793" i="6"/>
  <c r="Y791" i="6"/>
  <c r="Y742" i="6"/>
  <c r="Y699" i="6"/>
  <c r="Y697" i="6"/>
  <c r="Y638" i="6"/>
  <c r="Y571" i="6"/>
  <c r="Y569" i="6"/>
  <c r="Y565" i="6"/>
  <c r="Y563" i="6"/>
  <c r="Y543" i="6"/>
  <c r="Y500" i="6"/>
  <c r="Y496" i="6"/>
  <c r="Y494" i="6"/>
  <c r="Y478" i="6"/>
  <c r="Y472" i="6"/>
  <c r="Y448" i="6"/>
  <c r="Y446" i="6"/>
  <c r="Y433" i="6"/>
  <c r="Y428" i="6"/>
  <c r="Y426" i="6"/>
  <c r="Y411" i="6"/>
  <c r="Y409" i="6"/>
  <c r="Y386" i="6"/>
  <c r="Y384" i="6"/>
  <c r="Y382" i="6"/>
  <c r="Y380" i="6"/>
  <c r="Y953" i="6"/>
  <c r="Y943" i="6"/>
  <c r="Y937" i="6"/>
  <c r="Y915" i="6"/>
  <c r="Y830" i="6"/>
  <c r="Y776" i="6"/>
  <c r="Y710" i="6"/>
  <c r="Y670" i="6"/>
  <c r="Y644" i="6"/>
  <c r="Y636" i="6"/>
  <c r="Y549" i="6"/>
  <c r="Y547" i="6"/>
  <c r="Y507" i="6"/>
  <c r="Y505" i="6"/>
  <c r="Y486" i="6"/>
  <c r="Y484" i="6"/>
  <c r="Y482" i="6"/>
  <c r="Y462" i="6"/>
  <c r="Y454" i="6"/>
  <c r="Y452" i="6"/>
  <c r="Y450" i="6"/>
  <c r="Y422" i="6"/>
  <c r="Y405" i="6"/>
  <c r="Y378" i="6"/>
  <c r="Y376" i="6"/>
  <c r="Y374" i="6"/>
  <c r="Y372" i="6"/>
  <c r="Y997" i="6"/>
  <c r="Y989" i="6"/>
  <c r="Y1017" i="6"/>
  <c r="Y1009" i="6"/>
  <c r="Y1001" i="6"/>
  <c r="Y798" i="6"/>
  <c r="Y568" i="6"/>
  <c r="Y566" i="6"/>
  <c r="Y425" i="6"/>
  <c r="Y397" i="6"/>
  <c r="Y983" i="6"/>
  <c r="Y979" i="6"/>
  <c r="Y958" i="6"/>
  <c r="Y951" i="6"/>
  <c r="Y945" i="6"/>
  <c r="Y939" i="6"/>
  <c r="Y925" i="6"/>
  <c r="Y916" i="6"/>
  <c r="Y914" i="6"/>
  <c r="Y906" i="6"/>
  <c r="Y880" i="6"/>
  <c r="Y876" i="6"/>
  <c r="Y865" i="6"/>
  <c r="Y863" i="6"/>
  <c r="Y861" i="6"/>
  <c r="Y850" i="6"/>
  <c r="Y848" i="6"/>
  <c r="Y844" i="6"/>
  <c r="Y833" i="6"/>
  <c r="Y831" i="6"/>
  <c r="Y829" i="6"/>
  <c r="Y818" i="6"/>
  <c r="Y816" i="6"/>
  <c r="Y812" i="6"/>
  <c r="Y801" i="6"/>
  <c r="Y799" i="6"/>
  <c r="Y797" i="6"/>
  <c r="Y773" i="6"/>
  <c r="Y756" i="6"/>
  <c r="Y741" i="6"/>
  <c r="Y724" i="6"/>
  <c r="Y709" i="6"/>
  <c r="Y637" i="6"/>
  <c r="Y567" i="6"/>
  <c r="Y545" i="6"/>
  <c r="Y534" i="6"/>
  <c r="Y917" i="6"/>
  <c r="Y886" i="6"/>
  <c r="Y695" i="6"/>
  <c r="Y541" i="6"/>
  <c r="Y530" i="6"/>
  <c r="Y526" i="6"/>
  <c r="Y498" i="6"/>
  <c r="Y492" i="6"/>
  <c r="Y488" i="6"/>
  <c r="Y467" i="6"/>
  <c r="Y465" i="6"/>
  <c r="Y982" i="6"/>
  <c r="Y975" i="6"/>
  <c r="Y971" i="6"/>
  <c r="Y935" i="6"/>
  <c r="Y929" i="6"/>
  <c r="Y923" i="6"/>
  <c r="Y909" i="6"/>
  <c r="Y902" i="6"/>
  <c r="Y900" i="6"/>
  <c r="Y896" i="6"/>
  <c r="Y894" i="6"/>
  <c r="Y890" i="6"/>
  <c r="Y874" i="6"/>
  <c r="Y872" i="6"/>
  <c r="Y868" i="6"/>
  <c r="Y857" i="6"/>
  <c r="Y855" i="6"/>
  <c r="Y853" i="6"/>
  <c r="Y842" i="6"/>
  <c r="Y840" i="6"/>
  <c r="Y836" i="6"/>
  <c r="Y825" i="6"/>
  <c r="Y823" i="6"/>
  <c r="Y821" i="6"/>
  <c r="Y810" i="6"/>
  <c r="Y808" i="6"/>
  <c r="Y804" i="6"/>
  <c r="Y785" i="6"/>
  <c r="Y783" i="6"/>
  <c r="Y765" i="6"/>
  <c r="Y748" i="6"/>
  <c r="Y733" i="6"/>
  <c r="Y716" i="6"/>
  <c r="Y701" i="6"/>
  <c r="Y665" i="6"/>
  <c r="Y663" i="6"/>
  <c r="Y661" i="6"/>
  <c r="Y650" i="6"/>
  <c r="Y648" i="6"/>
  <c r="Y633" i="6"/>
  <c r="Y631" i="6"/>
  <c r="Y629" i="6"/>
  <c r="Y618" i="6"/>
  <c r="Y616" i="6"/>
  <c r="Y557" i="6"/>
  <c r="Y555" i="6"/>
  <c r="Y551" i="6"/>
  <c r="Y524" i="6"/>
  <c r="Y522" i="6"/>
  <c r="Y518" i="6"/>
  <c r="Y506" i="6"/>
  <c r="Y490" i="6"/>
  <c r="Y480" i="6"/>
  <c r="Y461" i="6"/>
  <c r="Y459" i="6"/>
  <c r="Y455" i="6"/>
  <c r="Y444" i="6"/>
  <c r="Y442" i="6"/>
  <c r="Y974" i="6"/>
  <c r="Y967" i="6"/>
  <c r="Y963" i="6"/>
  <c r="Y948" i="6"/>
  <c r="Y946" i="6"/>
  <c r="Y942" i="6"/>
  <c r="Y934" i="6"/>
  <c r="Y919" i="6"/>
  <c r="Y913" i="6"/>
  <c r="Y907" i="6"/>
  <c r="Y879" i="6"/>
  <c r="Y877" i="6"/>
  <c r="Y866" i="6"/>
  <c r="Y864" i="6"/>
  <c r="Y860" i="6"/>
  <c r="Y849" i="6"/>
  <c r="Y847" i="6"/>
  <c r="Y845" i="6"/>
  <c r="Y834" i="6"/>
  <c r="Y832" i="6"/>
  <c r="Y828" i="6"/>
  <c r="Y817" i="6"/>
  <c r="Y815" i="6"/>
  <c r="Y813" i="6"/>
  <c r="Y802" i="6"/>
  <c r="Y800" i="6"/>
  <c r="Y796" i="6"/>
  <c r="Y772" i="6"/>
  <c r="Y757" i="6"/>
  <c r="Y740" i="6"/>
  <c r="Y725" i="6"/>
  <c r="Y708" i="6"/>
  <c r="Y689" i="6"/>
  <c r="Y687" i="6"/>
  <c r="Y681" i="6"/>
  <c r="Y679" i="6"/>
  <c r="Y657" i="6"/>
  <c r="Y655" i="6"/>
  <c r="Y653" i="6"/>
  <c r="Y642" i="6"/>
  <c r="Y640" i="6"/>
  <c r="Y625" i="6"/>
  <c r="Y623" i="6"/>
  <c r="Y621" i="6"/>
  <c r="Y558" i="6"/>
  <c r="Y539" i="6"/>
  <c r="Y537" i="6"/>
  <c r="Y535" i="6"/>
  <c r="Y533" i="6"/>
  <c r="Y508" i="6"/>
  <c r="Y495" i="6"/>
  <c r="Y487" i="6"/>
  <c r="Y476" i="6"/>
  <c r="Y474" i="6"/>
  <c r="Y464" i="6"/>
  <c r="Y453" i="6"/>
  <c r="Y451" i="6"/>
  <c r="Y447" i="6"/>
  <c r="Y980" i="6"/>
  <c r="Y978" i="6"/>
  <c r="Y961" i="6"/>
  <c r="Y949" i="6"/>
  <c r="Y940" i="6"/>
  <c r="Y938" i="6"/>
  <c r="Y911" i="6"/>
  <c r="Y905" i="6"/>
  <c r="Y899" i="6"/>
  <c r="Y794" i="6"/>
  <c r="Y792" i="6"/>
  <c r="Y788" i="6"/>
  <c r="Y770" i="6"/>
  <c r="Y768" i="6"/>
  <c r="Y755" i="6"/>
  <c r="Y753" i="6"/>
  <c r="Y738" i="6"/>
  <c r="Y736" i="6"/>
  <c r="Y723" i="6"/>
  <c r="Y721" i="6"/>
  <c r="Y706" i="6"/>
  <c r="Y704" i="6"/>
  <c r="Y680" i="6"/>
  <c r="Y674" i="6"/>
  <c r="Y672" i="6"/>
  <c r="Y668" i="6"/>
  <c r="Y651" i="6"/>
  <c r="Y619" i="6"/>
  <c r="Y564" i="6"/>
  <c r="Y562" i="6"/>
  <c r="Y531" i="6"/>
  <c r="Y529" i="6"/>
  <c r="Y527" i="6"/>
  <c r="Y525" i="6"/>
  <c r="Y499" i="6"/>
  <c r="Y497" i="6"/>
  <c r="Y493" i="6"/>
  <c r="Y479" i="6"/>
  <c r="Y468" i="6"/>
  <c r="Y466" i="6"/>
  <c r="Y966" i="6"/>
  <c r="Y959" i="6"/>
  <c r="Y955" i="6"/>
  <c r="Y941" i="6"/>
  <c r="Y932" i="6"/>
  <c r="Y930" i="6"/>
  <c r="Y926" i="6"/>
  <c r="Y918" i="6"/>
  <c r="Y903" i="6"/>
  <c r="Y897" i="6"/>
  <c r="Y895" i="6"/>
  <c r="Y891" i="6"/>
  <c r="Y873" i="6"/>
  <c r="Y871" i="6"/>
  <c r="Y869" i="6"/>
  <c r="Y858" i="6"/>
  <c r="Y856" i="6"/>
  <c r="Y852" i="6"/>
  <c r="Y841" i="6"/>
  <c r="Y839" i="6"/>
  <c r="Y837" i="6"/>
  <c r="Y826" i="6"/>
  <c r="Y824" i="6"/>
  <c r="Y820" i="6"/>
  <c r="Y809" i="6"/>
  <c r="Y807" i="6"/>
  <c r="Y805" i="6"/>
  <c r="Y795" i="6"/>
  <c r="Y786" i="6"/>
  <c r="Y784" i="6"/>
  <c r="Y782" i="6"/>
  <c r="Y764" i="6"/>
  <c r="Y749" i="6"/>
  <c r="Y732" i="6"/>
  <c r="Y717" i="6"/>
  <c r="Y700" i="6"/>
  <c r="Y666" i="6"/>
  <c r="Y664" i="6"/>
  <c r="Y649" i="6"/>
  <c r="Y647" i="6"/>
  <c r="Y645" i="6"/>
  <c r="Y634" i="6"/>
  <c r="Y632" i="6"/>
  <c r="Y617" i="6"/>
  <c r="Y615" i="6"/>
  <c r="Y561" i="6"/>
  <c r="Y556" i="6"/>
  <c r="Y554" i="6"/>
  <c r="Y550" i="6"/>
  <c r="Y523" i="6"/>
  <c r="Y521" i="6"/>
  <c r="Y519" i="6"/>
  <c r="Y517" i="6"/>
  <c r="Y491" i="6"/>
  <c r="Y489" i="6"/>
  <c r="Y485" i="6"/>
  <c r="Y471" i="6"/>
  <c r="Y460" i="6"/>
  <c r="Y458" i="6"/>
  <c r="Y456" i="6"/>
  <c r="Y445" i="6"/>
  <c r="Y933" i="6"/>
  <c r="Y787" i="6"/>
  <c r="Y692" i="6"/>
  <c r="Y686" i="6"/>
  <c r="Y684" i="6"/>
  <c r="Y643" i="6"/>
  <c r="Y553" i="6"/>
  <c r="Y542" i="6"/>
  <c r="Y515" i="6"/>
  <c r="Y513" i="6"/>
  <c r="Y511" i="6"/>
  <c r="Y509" i="6"/>
  <c r="Y477" i="6"/>
  <c r="Y1007" i="6"/>
  <c r="Y1003" i="6"/>
  <c r="Y999" i="6"/>
  <c r="Y995" i="6"/>
  <c r="Y991" i="6"/>
  <c r="Y1025" i="6"/>
  <c r="Y1011" i="6"/>
  <c r="Y1065" i="6"/>
  <c r="Y1061" i="6"/>
  <c r="Y1057" i="6"/>
  <c r="Y1041" i="6"/>
  <c r="Y1033" i="6"/>
  <c r="Y1029" i="6"/>
  <c r="Y1081" i="6"/>
  <c r="Y1053" i="6"/>
  <c r="Y1049" i="6"/>
  <c r="Y1045" i="6"/>
  <c r="Y1037" i="6"/>
  <c r="Y1023" i="6"/>
  <c r="Y1021" i="6"/>
  <c r="Y1019" i="6"/>
  <c r="Y1015" i="6"/>
  <c r="Y1072" i="6"/>
  <c r="Y1086" i="6"/>
  <c r="Y1084" i="6"/>
  <c r="Y1082" i="6"/>
  <c r="Y1080" i="6"/>
  <c r="Y1076" i="6"/>
  <c r="Y1070" i="6"/>
  <c r="Y1068" i="6"/>
  <c r="Y1066" i="6"/>
  <c r="Y1064" i="6"/>
  <c r="Y1062" i="6"/>
  <c r="Y1060" i="6"/>
  <c r="Y1058" i="6"/>
  <c r="Y1056" i="6"/>
  <c r="Y1054" i="6"/>
  <c r="Y1052" i="6"/>
  <c r="Y1050" i="6"/>
  <c r="Y1048" i="6"/>
  <c r="Y1046" i="6"/>
  <c r="Y1044" i="6"/>
  <c r="Y1042" i="6"/>
  <c r="Y1040" i="6"/>
  <c r="Y1038" i="6"/>
  <c r="Y1036" i="6"/>
  <c r="Y1034" i="6"/>
  <c r="Y1032" i="6"/>
  <c r="Y1030" i="6"/>
  <c r="Y1028" i="6"/>
  <c r="Y1026" i="6"/>
  <c r="Y1024" i="6"/>
  <c r="Y1022" i="6"/>
  <c r="Y1020" i="6"/>
  <c r="Y1018" i="6"/>
  <c r="Y1016" i="6"/>
  <c r="Y1014" i="6"/>
  <c r="Y1012" i="6"/>
  <c r="Y1010" i="6"/>
  <c r="Y1008" i="6"/>
  <c r="Y1006" i="6"/>
  <c r="Y1004" i="6"/>
  <c r="Y1002" i="6"/>
  <c r="Y1000" i="6"/>
  <c r="Y998" i="6"/>
  <c r="Y996" i="6"/>
  <c r="Y994" i="6"/>
  <c r="Y992" i="6"/>
  <c r="Y990" i="6"/>
  <c r="Y988" i="6"/>
  <c r="AD203" i="6"/>
  <c r="Y1085" i="6"/>
  <c r="Y1083" i="6"/>
  <c r="Y1079" i="6"/>
  <c r="Y1077" i="6"/>
  <c r="Y1075" i="6"/>
  <c r="Y1073" i="6"/>
  <c r="Y1071" i="6"/>
  <c r="Y1069" i="6"/>
  <c r="Y1067" i="6"/>
  <c r="Y1063" i="6"/>
  <c r="Y1059" i="6"/>
  <c r="Y1055" i="6"/>
  <c r="Y1051" i="6"/>
  <c r="Y1047" i="6"/>
  <c r="Y1043" i="6"/>
  <c r="Y1039" i="6"/>
  <c r="Y1035" i="6"/>
  <c r="Y1031" i="6"/>
  <c r="Y1027" i="6"/>
  <c r="Y1078" i="6"/>
  <c r="Y1074" i="6"/>
  <c r="AD202" i="6"/>
  <c r="AD200" i="6"/>
  <c r="Y987" i="6"/>
  <c r="U778" i="6"/>
  <c r="AD201" i="6"/>
  <c r="Y164" i="6"/>
  <c r="Y129" i="6"/>
  <c r="Y65" i="6"/>
  <c r="Y98" i="6"/>
  <c r="Y58" i="6"/>
  <c r="Y87" i="6"/>
  <c r="Y25" i="6"/>
  <c r="Y152" i="6"/>
  <c r="Y124" i="6"/>
  <c r="Y14" i="6"/>
  <c r="Y115" i="6"/>
  <c r="Y5" i="6"/>
  <c r="Y55" i="6"/>
  <c r="Y149" i="6"/>
  <c r="Y145" i="6"/>
  <c r="Y132" i="6"/>
  <c r="Y110" i="6"/>
  <c r="Y6" i="6"/>
  <c r="Y81" i="6"/>
  <c r="Y143" i="6"/>
  <c r="Y18" i="6"/>
  <c r="Y118" i="6"/>
  <c r="V209" i="6"/>
  <c r="U201" i="6"/>
  <c r="U202" i="6"/>
  <c r="V207" i="6"/>
  <c r="Y57" i="6"/>
  <c r="Y28" i="6"/>
  <c r="Y156" i="6"/>
  <c r="S202" i="6"/>
  <c r="V208" i="6"/>
  <c r="Y171" i="6"/>
  <c r="Y150" i="6"/>
  <c r="Y122" i="6"/>
  <c r="Y113" i="6"/>
  <c r="Y8" i="6"/>
  <c r="Y94" i="6"/>
  <c r="Y168" i="6"/>
  <c r="Y162" i="6"/>
  <c r="Y159" i="6"/>
  <c r="Y20" i="6"/>
  <c r="Y138" i="6"/>
  <c r="Y131" i="6"/>
  <c r="Y9" i="6"/>
  <c r="T209" i="6"/>
  <c r="S200" i="6"/>
  <c r="Y139" i="6"/>
  <c r="Y125" i="6"/>
  <c r="Y120" i="6"/>
  <c r="Y116" i="6"/>
  <c r="U203" i="6"/>
  <c r="Y42" i="6"/>
  <c r="Y69" i="6"/>
  <c r="T200" i="6"/>
  <c r="V202" i="6"/>
  <c r="S209" i="6"/>
  <c r="S201" i="6"/>
  <c r="T207" i="6"/>
  <c r="U200" i="6"/>
  <c r="T202" i="6"/>
  <c r="U207" i="6"/>
  <c r="V201" i="6"/>
  <c r="Y166" i="6"/>
  <c r="V200" i="6"/>
  <c r="S203" i="6"/>
  <c r="S208" i="6"/>
  <c r="S210" i="6"/>
  <c r="Y44" i="6"/>
  <c r="Y38" i="6"/>
  <c r="Y37" i="6"/>
  <c r="Y101" i="6"/>
  <c r="Y95" i="6"/>
  <c r="Y93" i="6"/>
  <c r="Y89" i="6"/>
  <c r="Y54" i="6"/>
  <c r="Y84" i="6"/>
  <c r="Y165" i="6"/>
  <c r="Y22" i="6"/>
  <c r="Y153" i="6"/>
  <c r="Y146" i="6"/>
  <c r="Y141" i="6"/>
  <c r="Y134" i="6"/>
  <c r="Y127" i="6"/>
  <c r="Y15" i="6"/>
  <c r="Y12" i="6"/>
  <c r="Y112" i="6"/>
  <c r="Y106" i="6"/>
  <c r="T203" i="6"/>
  <c r="T210" i="6"/>
  <c r="T201" i="6"/>
  <c r="V203" i="6"/>
  <c r="U208" i="6"/>
  <c r="U210" i="6"/>
  <c r="Y82" i="6"/>
  <c r="Y71" i="6"/>
  <c r="Y86" i="6"/>
  <c r="Y23" i="6"/>
  <c r="Y173" i="6"/>
  <c r="Y167" i="6"/>
  <c r="Y148" i="6"/>
  <c r="Y144" i="6"/>
  <c r="Y136" i="6"/>
  <c r="Y130" i="6"/>
  <c r="Y123" i="6"/>
  <c r="Y119" i="6"/>
  <c r="Y114" i="6"/>
  <c r="Y108" i="6"/>
  <c r="Y160" i="6"/>
  <c r="Y39" i="6"/>
  <c r="Y66" i="6"/>
  <c r="Y102" i="6"/>
  <c r="Y34" i="6"/>
  <c r="Y59" i="6"/>
  <c r="Y90" i="6"/>
  <c r="Y27" i="6"/>
  <c r="Y172" i="6"/>
  <c r="Y157" i="6"/>
  <c r="Y155" i="6"/>
  <c r="Y147" i="6"/>
  <c r="Y142" i="6"/>
  <c r="Y135" i="6"/>
  <c r="Y128" i="6"/>
  <c r="Y16" i="6"/>
  <c r="Y78" i="6"/>
  <c r="Y10" i="6"/>
  <c r="Y107" i="6"/>
  <c r="Y73" i="6"/>
  <c r="Y104" i="6"/>
  <c r="Y100" i="6"/>
  <c r="Y62" i="6"/>
  <c r="Y92" i="6"/>
  <c r="Y88" i="6"/>
  <c r="Y170" i="6"/>
  <c r="Y24" i="6"/>
  <c r="Y154" i="6"/>
  <c r="Y21" i="6"/>
  <c r="Y36" i="6"/>
  <c r="Y97" i="6"/>
  <c r="Y61" i="6"/>
  <c r="Y91" i="6"/>
  <c r="Y56" i="6"/>
  <c r="Y85" i="6"/>
  <c r="Y83" i="6"/>
  <c r="Y158" i="6"/>
  <c r="Y151" i="6"/>
  <c r="Y19" i="6"/>
  <c r="Y137" i="6"/>
  <c r="Y17" i="6"/>
  <c r="Y79" i="6"/>
  <c r="Y13" i="6"/>
  <c r="Y11" i="6"/>
  <c r="Y109" i="6"/>
  <c r="Y4" i="6"/>
  <c r="Y140" i="6"/>
  <c r="Y133" i="6"/>
  <c r="Y126" i="6"/>
  <c r="Y121" i="6"/>
  <c r="Y117" i="6"/>
  <c r="Y111" i="6"/>
  <c r="Y7" i="6"/>
  <c r="Y46" i="6"/>
  <c r="Y72" i="6"/>
  <c r="Y67" i="6"/>
  <c r="Y35" i="6"/>
  <c r="Y63" i="6"/>
  <c r="Y32" i="6"/>
  <c r="Y30" i="6"/>
  <c r="Y161" i="6"/>
  <c r="Y80" i="6"/>
  <c r="Y3" i="6"/>
  <c r="Y96" i="6"/>
  <c r="Y49" i="6"/>
  <c r="Y74" i="6"/>
  <c r="Y40" i="6"/>
  <c r="Y105" i="6"/>
  <c r="Y64" i="6"/>
  <c r="Y60" i="6"/>
  <c r="Y47" i="6"/>
  <c r="Y43" i="6"/>
  <c r="Y70" i="6"/>
  <c r="Y103" i="6"/>
  <c r="Y99" i="6"/>
  <c r="Y33" i="6"/>
  <c r="Y31" i="6"/>
  <c r="Y29" i="6"/>
  <c r="Y26" i="6"/>
  <c r="Y169" i="6"/>
  <c r="Y163" i="6"/>
  <c r="Y76" i="6"/>
  <c r="Y51" i="6"/>
  <c r="Y48" i="6"/>
  <c r="Y50" i="6"/>
  <c r="Y45" i="6"/>
  <c r="Y53" i="6"/>
  <c r="Y52" i="6"/>
  <c r="Y75" i="6"/>
  <c r="Y41" i="6"/>
  <c r="Y68" i="6"/>
  <c r="Y77" i="6"/>
  <c r="T131" i="6"/>
  <c r="T124" i="6"/>
  <c r="T14" i="6"/>
  <c r="T115" i="6"/>
  <c r="T9" i="6"/>
  <c r="T5" i="6"/>
  <c r="T53" i="6"/>
  <c r="T76" i="6"/>
  <c r="T42" i="6"/>
  <c r="T69" i="6"/>
  <c r="T103" i="6"/>
  <c r="T99" i="6"/>
  <c r="T94" i="6"/>
  <c r="T58" i="6"/>
  <c r="T87" i="6"/>
  <c r="T25" i="6"/>
  <c r="T83" i="6"/>
  <c r="T162" i="6"/>
  <c r="T157" i="6"/>
  <c r="T152" i="6"/>
  <c r="T20" i="6"/>
  <c r="T138" i="6"/>
  <c r="R181" i="6"/>
  <c r="T77" i="6"/>
  <c r="T44" i="6"/>
  <c r="T38" i="6"/>
  <c r="T104" i="6"/>
  <c r="T101" i="6"/>
  <c r="T95" i="6"/>
  <c r="T93" i="6"/>
  <c r="T90" i="6"/>
  <c r="T54" i="6"/>
  <c r="T172" i="6"/>
  <c r="T166" i="6"/>
  <c r="T23" i="6"/>
  <c r="T153" i="6"/>
  <c r="T146" i="6"/>
  <c r="T142" i="6"/>
  <c r="T133" i="6"/>
  <c r="T129" i="6"/>
  <c r="T16" i="6"/>
  <c r="T12" i="6"/>
  <c r="T112" i="6"/>
  <c r="T106" i="6"/>
  <c r="T51" i="6"/>
  <c r="T46" i="6"/>
  <c r="T72" i="6"/>
  <c r="T67" i="6"/>
  <c r="T35" i="6"/>
  <c r="T63" i="6"/>
  <c r="T32" i="6"/>
  <c r="T30" i="6"/>
  <c r="T56" i="6"/>
  <c r="T173" i="6"/>
  <c r="T167" i="6"/>
  <c r="T81" i="6"/>
  <c r="T80" i="6"/>
  <c r="T150" i="6"/>
  <c r="T49" i="6"/>
  <c r="T74" i="6"/>
  <c r="T39" i="6"/>
  <c r="T66" i="6"/>
  <c r="T102" i="6"/>
  <c r="T34" i="6"/>
  <c r="T59" i="6"/>
  <c r="T88" i="6"/>
  <c r="T28" i="6"/>
  <c r="T171" i="6"/>
  <c r="T165" i="6"/>
  <c r="T22" i="6"/>
  <c r="T155" i="6"/>
  <c r="T147" i="6"/>
  <c r="T141" i="6"/>
  <c r="T18" i="6"/>
  <c r="T127" i="6"/>
  <c r="T121" i="6"/>
  <c r="T78" i="6"/>
  <c r="T113" i="6"/>
  <c r="T107" i="6"/>
  <c r="T47" i="6"/>
  <c r="T43" i="6"/>
  <c r="T70" i="6"/>
  <c r="T65" i="6"/>
  <c r="T98" i="6"/>
  <c r="T62" i="6"/>
  <c r="T31" i="6"/>
  <c r="T29" i="6"/>
  <c r="T26" i="6"/>
  <c r="T169" i="6"/>
  <c r="T163" i="6"/>
  <c r="T159" i="6"/>
  <c r="T149" i="6"/>
  <c r="T145" i="6"/>
  <c r="T139" i="6"/>
  <c r="T132" i="6"/>
  <c r="T125" i="6"/>
  <c r="T120" i="6"/>
  <c r="T116" i="6"/>
  <c r="T110" i="6"/>
  <c r="T6" i="6"/>
  <c r="AH55" i="6"/>
  <c r="AH53" i="6"/>
  <c r="AH76" i="6"/>
  <c r="AH73" i="6"/>
  <c r="AH20" i="6"/>
  <c r="AH131" i="6"/>
  <c r="AH46" i="6"/>
  <c r="AH147" i="6"/>
  <c r="AH50" i="6"/>
  <c r="AH86" i="6"/>
  <c r="AH26" i="6"/>
  <c r="AH40" i="6"/>
  <c r="AH72" i="6"/>
  <c r="AH168" i="6"/>
  <c r="AH66" i="6"/>
  <c r="AH29" i="6"/>
  <c r="AH57" i="6"/>
  <c r="AH30" i="6"/>
  <c r="AH21" i="6"/>
  <c r="AH78" i="6"/>
  <c r="AH104" i="6"/>
  <c r="T143" i="6"/>
  <c r="T136" i="6"/>
  <c r="T17" i="6"/>
  <c r="T79" i="6"/>
  <c r="AI78" i="6" s="1"/>
  <c r="T119" i="6"/>
  <c r="T114" i="6"/>
  <c r="T8" i="6"/>
  <c r="T3" i="6"/>
  <c r="S174" i="6"/>
  <c r="T48" i="6"/>
  <c r="T73" i="6"/>
  <c r="T71" i="6"/>
  <c r="T37" i="6"/>
  <c r="T100" i="6"/>
  <c r="T33" i="6"/>
  <c r="T92" i="6"/>
  <c r="T89" i="6"/>
  <c r="AI88" i="6" s="1"/>
  <c r="T86" i="6"/>
  <c r="T170" i="6"/>
  <c r="T24" i="6"/>
  <c r="T160" i="6"/>
  <c r="T154" i="6"/>
  <c r="T21" i="6"/>
  <c r="T140" i="6"/>
  <c r="T134" i="6"/>
  <c r="T126" i="6"/>
  <c r="T15" i="6"/>
  <c r="T117" i="6"/>
  <c r="T111" i="6"/>
  <c r="T7" i="6"/>
  <c r="Q174" i="6"/>
  <c r="T52" i="6"/>
  <c r="T75" i="6"/>
  <c r="T41" i="6"/>
  <c r="T68" i="6"/>
  <c r="T36" i="6"/>
  <c r="T97" i="6"/>
  <c r="T61" i="6"/>
  <c r="T91" i="6"/>
  <c r="T55" i="6"/>
  <c r="T85" i="6"/>
  <c r="T168" i="6"/>
  <c r="T82" i="6"/>
  <c r="T158" i="6"/>
  <c r="T151" i="6"/>
  <c r="T19" i="6"/>
  <c r="T137" i="6"/>
  <c r="T130" i="6"/>
  <c r="T123" i="6"/>
  <c r="T13" i="6"/>
  <c r="T11" i="6"/>
  <c r="T109" i="6"/>
  <c r="T4" i="6"/>
  <c r="R174" i="6"/>
  <c r="AH74" i="6"/>
  <c r="AH153" i="6"/>
  <c r="AH6" i="6"/>
  <c r="AH107" i="6"/>
  <c r="AH90" i="6"/>
  <c r="AH69" i="6"/>
  <c r="AH162" i="6"/>
  <c r="AH52" i="6"/>
  <c r="AH143" i="6"/>
  <c r="AH165" i="6"/>
  <c r="AH154" i="6"/>
  <c r="AH144" i="6"/>
  <c r="AH108" i="6"/>
  <c r="AH54" i="6"/>
  <c r="AH47" i="6"/>
  <c r="AH82" i="6"/>
  <c r="AH37" i="6"/>
  <c r="AH166" i="6"/>
  <c r="AH100" i="6"/>
  <c r="AH9" i="6"/>
  <c r="AH87" i="6"/>
  <c r="T50" i="6"/>
  <c r="T45" i="6"/>
  <c r="T40" i="6"/>
  <c r="T105" i="6"/>
  <c r="T64" i="6"/>
  <c r="T96" i="6"/>
  <c r="T60" i="6"/>
  <c r="T57" i="6"/>
  <c r="T27" i="6"/>
  <c r="T84" i="6"/>
  <c r="T164" i="6"/>
  <c r="T161" i="6"/>
  <c r="T156" i="6"/>
  <c r="T148" i="6"/>
  <c r="T144" i="6"/>
  <c r="T135" i="6"/>
  <c r="T128" i="6"/>
  <c r="T122" i="6"/>
  <c r="T118" i="6"/>
  <c r="T10" i="6"/>
  <c r="T108" i="6"/>
  <c r="P174" i="6"/>
  <c r="AH119" i="6"/>
  <c r="AH123" i="6"/>
  <c r="AH88" i="6"/>
  <c r="AH173" i="6"/>
  <c r="AH97" i="6"/>
  <c r="AH27" i="6"/>
  <c r="AH99" i="6"/>
  <c r="AH128" i="6"/>
  <c r="AH169" i="6"/>
  <c r="AH36" i="6"/>
  <c r="AH28" i="6"/>
  <c r="AH58" i="6"/>
  <c r="AH171" i="6"/>
  <c r="AH24" i="6"/>
  <c r="AH32" i="6"/>
  <c r="AH5" i="6"/>
  <c r="AH155" i="6"/>
  <c r="AH18" i="6"/>
  <c r="AH62" i="6"/>
  <c r="AH75" i="6"/>
  <c r="AH19" i="6"/>
  <c r="AH10" i="6"/>
  <c r="AH43" i="6"/>
  <c r="AH61" i="6"/>
  <c r="AH118" i="6"/>
  <c r="AH42" i="6"/>
  <c r="AH7" i="6"/>
  <c r="AH160" i="6"/>
  <c r="AH67" i="6"/>
  <c r="AH124" i="6"/>
  <c r="AH33" i="6"/>
  <c r="AH31" i="6"/>
  <c r="AH114" i="6"/>
  <c r="AH68" i="6"/>
  <c r="AH12" i="6"/>
  <c r="AH25" i="6"/>
  <c r="AH109" i="6"/>
  <c r="AH136" i="6"/>
  <c r="AH15" i="6"/>
  <c r="AH3" i="6"/>
  <c r="AH60" i="6"/>
  <c r="AH132" i="6"/>
  <c r="AH126" i="6"/>
  <c r="AH94" i="6"/>
  <c r="AH156" i="6"/>
  <c r="AH167" i="6"/>
  <c r="AH56" i="6"/>
  <c r="AH145" i="6"/>
  <c r="AH112" i="6"/>
  <c r="AH8" i="6"/>
  <c r="AH115" i="6"/>
  <c r="AH127" i="6"/>
  <c r="AH122" i="6"/>
  <c r="AH45" i="6"/>
  <c r="AH139" i="6"/>
  <c r="AH4" i="6"/>
  <c r="AH89" i="6"/>
  <c r="AH106" i="6"/>
  <c r="AH48" i="6"/>
  <c r="AH81" i="6"/>
  <c r="AH91" i="6"/>
  <c r="AH129" i="6"/>
  <c r="AH17" i="6"/>
  <c r="AH63" i="6"/>
  <c r="AH116" i="6"/>
  <c r="AH71" i="6"/>
  <c r="AH130" i="6"/>
  <c r="AH149" i="6"/>
  <c r="AH150" i="6"/>
  <c r="AH141" i="6"/>
  <c r="AH79" i="6"/>
  <c r="AH103" i="6"/>
  <c r="AH34" i="6"/>
  <c r="AH96" i="6"/>
  <c r="AH16" i="6"/>
  <c r="AH113" i="6"/>
  <c r="AH35" i="6"/>
  <c r="AH152" i="6"/>
  <c r="AH44" i="6"/>
  <c r="AH138" i="6"/>
  <c r="AH102" i="6"/>
  <c r="AH59" i="6"/>
  <c r="AH92" i="6"/>
  <c r="AH134" i="6"/>
  <c r="AH161" i="6"/>
  <c r="AH140" i="6"/>
  <c r="AH146" i="6"/>
  <c r="AH121" i="6"/>
  <c r="AH11" i="6"/>
  <c r="AH110" i="6"/>
  <c r="AH120" i="6"/>
  <c r="AH23" i="6"/>
  <c r="AH159" i="6"/>
  <c r="AH142" i="6"/>
  <c r="AH117" i="6"/>
  <c r="AH39" i="6"/>
  <c r="AH14" i="6"/>
  <c r="AH170" i="6"/>
  <c r="AH111" i="6"/>
  <c r="AH64" i="6"/>
  <c r="AH137" i="6"/>
  <c r="AH163" i="6"/>
  <c r="AH133" i="6"/>
  <c r="AH151" i="6"/>
  <c r="AH158" i="6"/>
  <c r="AH13" i="6"/>
  <c r="AH51" i="6"/>
  <c r="AH41" i="6"/>
  <c r="AH65" i="6"/>
  <c r="AH22" i="6"/>
  <c r="AH98" i="6"/>
  <c r="AH101" i="6"/>
  <c r="AH70" i="6"/>
  <c r="AH84" i="6"/>
  <c r="AH148" i="6"/>
  <c r="AH85" i="6"/>
  <c r="AH105" i="6"/>
  <c r="AH38" i="6"/>
  <c r="AH83" i="6"/>
  <c r="AH157" i="6"/>
  <c r="AH172" i="6"/>
  <c r="AH125" i="6"/>
  <c r="AH164" i="6"/>
  <c r="AH135" i="6"/>
  <c r="AH80" i="6"/>
  <c r="AH93" i="6"/>
  <c r="AH95" i="6"/>
  <c r="AH77" i="6"/>
  <c r="AH49" i="6"/>
  <c r="N98" i="4"/>
  <c r="N84" i="4"/>
  <c r="N97" i="4"/>
  <c r="N85" i="4"/>
  <c r="N67" i="4"/>
  <c r="N66" i="4"/>
  <c r="O85" i="4"/>
  <c r="AI160" i="6" l="1"/>
  <c r="AI124" i="6"/>
  <c r="AI6" i="6"/>
  <c r="AI153" i="6"/>
  <c r="AI3" i="6"/>
  <c r="AI44" i="6"/>
  <c r="AI35" i="6"/>
  <c r="AI169" i="6"/>
  <c r="AI16" i="6"/>
  <c r="AI152" i="6"/>
  <c r="AI80" i="6"/>
  <c r="AI104" i="6"/>
  <c r="AI99" i="6"/>
  <c r="AI113" i="6"/>
  <c r="AI28" i="6"/>
  <c r="AI9" i="6"/>
  <c r="AI136" i="6"/>
  <c r="AI32" i="6"/>
  <c r="AI74" i="6"/>
  <c r="AI110" i="6"/>
  <c r="AI159" i="6"/>
  <c r="AI138" i="6"/>
  <c r="AI127" i="6"/>
  <c r="AI49" i="6"/>
  <c r="AI23" i="6"/>
  <c r="AI90" i="6"/>
  <c r="AI46" i="6"/>
  <c r="AI66" i="6"/>
  <c r="AI131" i="6"/>
  <c r="AI101" i="6"/>
  <c r="AI121" i="6"/>
  <c r="AI83" i="6"/>
  <c r="AI112" i="6"/>
  <c r="AI65" i="6"/>
  <c r="AI172" i="6"/>
  <c r="AI142" i="6"/>
  <c r="AI115" i="6"/>
  <c r="AI162" i="6"/>
  <c r="AI69" i="6"/>
  <c r="AI17" i="6"/>
  <c r="AI87" i="6"/>
  <c r="AI149" i="6"/>
  <c r="AI62" i="6"/>
  <c r="AI11" i="6"/>
  <c r="AI165" i="6"/>
  <c r="AI37" i="6"/>
  <c r="AI19" i="6"/>
  <c r="AI93" i="6"/>
  <c r="AI4" i="6"/>
  <c r="AI147" i="6"/>
  <c r="AI95" i="6"/>
  <c r="AI122" i="6"/>
  <c r="AI84" i="6"/>
  <c r="AI133" i="6"/>
  <c r="AI139" i="6"/>
  <c r="AI42" i="6"/>
  <c r="AI58" i="6"/>
  <c r="AI106" i="6"/>
  <c r="AI144" i="6"/>
  <c r="AI56" i="6"/>
  <c r="AI120" i="6"/>
  <c r="AI107" i="6"/>
  <c r="AI155" i="6"/>
  <c r="AI129" i="6"/>
  <c r="AI54" i="6"/>
  <c r="AI30" i="6"/>
  <c r="AI26" i="6"/>
  <c r="AI108" i="6"/>
  <c r="AI157" i="6"/>
  <c r="AI61" i="6"/>
  <c r="AI77" i="6"/>
  <c r="AI164" i="6"/>
  <c r="AI55" i="6"/>
  <c r="AI81" i="6"/>
  <c r="AI14" i="6"/>
  <c r="AI72" i="6"/>
  <c r="AI67" i="6"/>
  <c r="AI59" i="6"/>
  <c r="AI167" i="6"/>
  <c r="AI63" i="6"/>
  <c r="AI51" i="6"/>
  <c r="AI91" i="6"/>
  <c r="AI119" i="6"/>
  <c r="AI168" i="6"/>
  <c r="AI140" i="6"/>
  <c r="AI79" i="6"/>
  <c r="AI34" i="6"/>
  <c r="AI15" i="6"/>
  <c r="AI171" i="6"/>
  <c r="AI43" i="6"/>
  <c r="AI151" i="6"/>
  <c r="AI98" i="6"/>
  <c r="AI8" i="6"/>
  <c r="AI20" i="6"/>
  <c r="AI7" i="6"/>
  <c r="AI25" i="6"/>
  <c r="AI146" i="6"/>
  <c r="AI33" i="6"/>
  <c r="AI128" i="6"/>
  <c r="AI76" i="6"/>
  <c r="AI156" i="6"/>
  <c r="AI102" i="6"/>
  <c r="AI114" i="6"/>
  <c r="AI117" i="6"/>
  <c r="AI163" i="6"/>
  <c r="AI39" i="6"/>
  <c r="AI18" i="6"/>
  <c r="AI60" i="6"/>
  <c r="AI154" i="6"/>
  <c r="AI166" i="6"/>
  <c r="AI71" i="6"/>
  <c r="AI132" i="6"/>
  <c r="AI89" i="6"/>
  <c r="AI161" i="6"/>
  <c r="AI68" i="6"/>
  <c r="AI13" i="6"/>
  <c r="AI150" i="6"/>
  <c r="AI96" i="6"/>
  <c r="AI36" i="6"/>
  <c r="AI118" i="6"/>
  <c r="AI21" i="6"/>
  <c r="AI45" i="6"/>
  <c r="AI141" i="6"/>
  <c r="AI92" i="6"/>
  <c r="AI82" i="6"/>
  <c r="AI41" i="6"/>
  <c r="AI123" i="6"/>
  <c r="AI38" i="6"/>
  <c r="AI50" i="6"/>
  <c r="AI145" i="6"/>
  <c r="AI94" i="6"/>
  <c r="AI24" i="6"/>
  <c r="AI75" i="6"/>
  <c r="AI130" i="6"/>
  <c r="AI134" i="6"/>
  <c r="AI10" i="6"/>
  <c r="AI5" i="6"/>
  <c r="AI148" i="6"/>
  <c r="AI97" i="6"/>
  <c r="AI170" i="6"/>
  <c r="AI73" i="6"/>
  <c r="AI29" i="6"/>
  <c r="AI105" i="6"/>
  <c r="AI100" i="6"/>
  <c r="AI86" i="6"/>
  <c r="AI52" i="6"/>
  <c r="AI116" i="6"/>
  <c r="AI70" i="6"/>
  <c r="AI143" i="6"/>
  <c r="AI12" i="6"/>
  <c r="AI40" i="6"/>
  <c r="AI125" i="6"/>
  <c r="AI85" i="6"/>
  <c r="AI47" i="6"/>
  <c r="AI135" i="6"/>
  <c r="AI109" i="6"/>
  <c r="AI158" i="6"/>
  <c r="AI64" i="6"/>
  <c r="AI126" i="6"/>
  <c r="AI27" i="6"/>
  <c r="AI48" i="6"/>
  <c r="AI31" i="6"/>
  <c r="AI111" i="6"/>
  <c r="AI22" i="6"/>
  <c r="AI103" i="6"/>
  <c r="AI137" i="6"/>
  <c r="AI57" i="6"/>
  <c r="AC201" i="6"/>
  <c r="AC200" i="6"/>
  <c r="AC202" i="6"/>
  <c r="AC203" i="6"/>
  <c r="Z204" i="6"/>
  <c r="Y204" i="6"/>
  <c r="AA204" i="6"/>
  <c r="AB204" i="6"/>
  <c r="W210" i="6"/>
  <c r="AB210" i="6" s="1"/>
  <c r="S211" i="6"/>
  <c r="W208" i="6"/>
  <c r="AB208" i="6" s="1"/>
  <c r="W207" i="6"/>
  <c r="W209" i="6"/>
  <c r="AB209" i="6" s="1"/>
  <c r="T211" i="6"/>
  <c r="V211" i="6"/>
  <c r="U211" i="6"/>
  <c r="T174" i="6"/>
  <c r="AI173" i="6" s="1"/>
  <c r="AE203" i="6" l="1"/>
  <c r="AI203" i="6" s="1"/>
  <c r="AE200" i="6"/>
  <c r="AI200" i="6" s="1"/>
  <c r="AE202" i="6"/>
  <c r="AI202" i="6" s="1"/>
  <c r="AE201" i="6"/>
  <c r="AI201" i="6" s="1"/>
  <c r="AI53" i="6"/>
  <c r="AD204" i="6"/>
  <c r="AE204" i="6"/>
  <c r="AB207" i="6"/>
  <c r="W211" i="6"/>
  <c r="AB211" i="6" s="1"/>
  <c r="AD205" i="6" l="1"/>
  <c r="AI204" i="6"/>
  <c r="AI205" i="6" s="1"/>
  <c r="AE205" i="6"/>
  <c r="W212" i="6"/>
  <c r="AB212" i="6"/>
  <c r="AA212" i="6"/>
</calcChain>
</file>

<file path=xl/sharedStrings.xml><?xml version="1.0" encoding="utf-8"?>
<sst xmlns="http://schemas.openxmlformats.org/spreadsheetml/2006/main" count="6327" uniqueCount="1891">
  <si>
    <t>University of Oxford</t>
  </si>
  <si>
    <t>United Kingdom</t>
  </si>
  <si>
    <t>96.4</t>
  </si>
  <si>
    <t>92.3</t>
  </si>
  <si>
    <t>99.7</t>
  </si>
  <si>
    <t>99.0</t>
  </si>
  <si>
    <t>74.9</t>
  </si>
  <si>
    <t>96.2</t>
  </si>
  <si>
    <t>Harvard University</t>
  </si>
  <si>
    <t>United States</t>
  </si>
  <si>
    <t>95.2</t>
  </si>
  <si>
    <t>94.8</t>
  </si>
  <si>
    <t>99.3</t>
  </si>
  <si>
    <t>49.5</t>
  </si>
  <si>
    <t>80.5</t>
  </si>
  <si>
    <t>University of Cambridge</t>
  </si>
  <si>
    <t>90.9</t>
  </si>
  <si>
    <t>99.5</t>
  </si>
  <si>
    <t>97.0</t>
  </si>
  <si>
    <t>54.2</t>
  </si>
  <si>
    <t>95.8</t>
  </si>
  <si>
    <t>Stanford University</t>
  </si>
  <si>
    <t>94.2</t>
  </si>
  <si>
    <t>96.7</t>
  </si>
  <si>
    <t>99.8</t>
  </si>
  <si>
    <t>65.0</t>
  </si>
  <si>
    <t>79.8</t>
  </si>
  <si>
    <t>Massachusetts Institute of Technology</t>
  </si>
  <si>
    <t>90.7</t>
  </si>
  <si>
    <t>93.6</t>
  </si>
  <si>
    <t>89.3</t>
  </si>
  <si>
    <t>California Institute of Technology</t>
  </si>
  <si>
    <t>94.1</t>
  </si>
  <si>
    <t>97.3</t>
  </si>
  <si>
    <t>89.8</t>
  </si>
  <si>
    <t>83.6</t>
  </si>
  <si>
    <t>Princeton University</t>
  </si>
  <si>
    <t>92.4</t>
  </si>
  <si>
    <t>87.6</t>
  </si>
  <si>
    <t>95.9</t>
  </si>
  <si>
    <t>99.1</t>
  </si>
  <si>
    <t>66.0</t>
  </si>
  <si>
    <t>80.3</t>
  </si>
  <si>
    <t>University of California, Berkeley</t>
  </si>
  <si>
    <t>92.1</t>
  </si>
  <si>
    <t>86.4</t>
  </si>
  <si>
    <t>76.8</t>
  </si>
  <si>
    <t>78.4</t>
  </si>
  <si>
    <t>Yale University</t>
  </si>
  <si>
    <t>91.4</t>
  </si>
  <si>
    <t>92.6</t>
  </si>
  <si>
    <t>92.7</t>
  </si>
  <si>
    <t>55.0</t>
  </si>
  <si>
    <t>70.9</t>
  </si>
  <si>
    <t>Imperial College London</t>
  </si>
  <si>
    <t>90.4</t>
  </si>
  <si>
    <t>82.8</t>
  </si>
  <si>
    <t>90.8</t>
  </si>
  <si>
    <t>98.3</t>
  </si>
  <si>
    <t>59.8</t>
  </si>
  <si>
    <t>97.5</t>
  </si>
  <si>
    <t>Columbia University</t>
  </si>
  <si>
    <t>89.4</t>
  </si>
  <si>
    <t>87.7</t>
  </si>
  <si>
    <t>97.1</t>
  </si>
  <si>
    <t>44.8</t>
  </si>
  <si>
    <t>79.9</t>
  </si>
  <si>
    <t>ETH Zurich</t>
  </si>
  <si>
    <t>Switzerland</t>
  </si>
  <si>
    <t>82.6</t>
  </si>
  <si>
    <t>95.4</t>
  </si>
  <si>
    <t>59.1</t>
  </si>
  <si>
    <t>97.7</t>
  </si>
  <si>
    <t>The University of Chicago</t>
  </si>
  <si>
    <t>88.9</t>
  </si>
  <si>
    <t>86.5</t>
  </si>
  <si>
    <t>88.8</t>
  </si>
  <si>
    <t>56.2</t>
  </si>
  <si>
    <t>74.2</t>
  </si>
  <si>
    <t>University of Pennsylvania</t>
  </si>
  <si>
    <t>86.0</t>
  </si>
  <si>
    <t>75.8</t>
  </si>
  <si>
    <t>71.5</t>
  </si>
  <si>
    <t>Johns Hopkins University</t>
  </si>
  <si>
    <t>88.3</t>
  </si>
  <si>
    <t>79.4</t>
  </si>
  <si>
    <t>91.5</t>
  </si>
  <si>
    <t>89.5</t>
  </si>
  <si>
    <t>75.3</t>
  </si>
  <si>
    <t>Tsinghua University</t>
  </si>
  <si>
    <t>China</t>
  </si>
  <si>
    <t>88.2</t>
  </si>
  <si>
    <t>90.1</t>
  </si>
  <si>
    <t>97.4</t>
  </si>
  <si>
    <t>88.0</t>
  </si>
  <si>
    <t>100.0</t>
  </si>
  <si>
    <t>40.3</t>
  </si>
  <si>
    <t>Peking University</t>
  </si>
  <si>
    <t>88.1</t>
  </si>
  <si>
    <t>92.5</t>
  </si>
  <si>
    <t>80.4</t>
  </si>
  <si>
    <t>91.8</t>
  </si>
  <si>
    <t>University of Toronto</t>
  </si>
  <si>
    <t>Canada</t>
  </si>
  <si>
    <t>87.4</t>
  </si>
  <si>
    <t>77.3</t>
  </si>
  <si>
    <t>93.3</t>
  </si>
  <si>
    <t>92.8</t>
  </si>
  <si>
    <t>65.5</t>
  </si>
  <si>
    <t>89.7</t>
  </si>
  <si>
    <t>National University of Singapore</t>
  </si>
  <si>
    <t>Singapore</t>
  </si>
  <si>
    <t>87.1</t>
  </si>
  <si>
    <t>76.4</t>
  </si>
  <si>
    <t>93.0</t>
  </si>
  <si>
    <t>90.2</t>
  </si>
  <si>
    <t>87.0</t>
  </si>
  <si>
    <t>94.0</t>
  </si>
  <si>
    <t>Cornell University</t>
  </si>
  <si>
    <t>85.9</t>
  </si>
  <si>
    <t>80.2</t>
  </si>
  <si>
    <t>86.1</t>
  </si>
  <si>
    <t>40.4</t>
  </si>
  <si>
    <t>76.9</t>
  </si>
  <si>
    <t>University of California, Los Angeles</t>
  </si>
  <si>
    <t>85.8</t>
  </si>
  <si>
    <t>58.8</t>
  </si>
  <si>
    <t>UCL</t>
  </si>
  <si>
    <t>85.7</t>
  </si>
  <si>
    <t>74.5</t>
  </si>
  <si>
    <t>85.4</t>
  </si>
  <si>
    <t>97.9</t>
  </si>
  <si>
    <t>44.5</t>
  </si>
  <si>
    <t>University of Michigan-Ann Arbor</t>
  </si>
  <si>
    <t>82.9</t>
  </si>
  <si>
    <t>79.3</t>
  </si>
  <si>
    <t>84.6</t>
  </si>
  <si>
    <t>48.7</t>
  </si>
  <si>
    <t>59.2</t>
  </si>
  <si>
    <t>New York University</t>
  </si>
  <si>
    <t>82.7</t>
  </si>
  <si>
    <t>84.0</t>
  </si>
  <si>
    <t>95.0</t>
  </si>
  <si>
    <t>44.6</t>
  </si>
  <si>
    <t>74.7</t>
  </si>
  <si>
    <t>Duke University</t>
  </si>
  <si>
    <t>78.1</t>
  </si>
  <si>
    <t>76.2</t>
  </si>
  <si>
    <t>95.7</t>
  </si>
  <si>
    <t>99.6</t>
  </si>
  <si>
    <t>68.0</t>
  </si>
  <si>
    <t>Northwestern University</t>
  </si>
  <si>
    <t>82.1</t>
  </si>
  <si>
    <t>71.7</t>
  </si>
  <si>
    <t>80.7</t>
  </si>
  <si>
    <t>85.0</t>
  </si>
  <si>
    <t>67.0</t>
  </si>
  <si>
    <t>University of Washington</t>
  </si>
  <si>
    <t>71.6</t>
  </si>
  <si>
    <t>98.9</t>
  </si>
  <si>
    <t>53.9</t>
  </si>
  <si>
    <t>63.0</t>
  </si>
  <si>
    <t>Carnegie Mellon University</t>
  </si>
  <si>
    <t>81.1</t>
  </si>
  <si>
    <t>65.4</t>
  </si>
  <si>
    <t>81.8</t>
  </si>
  <si>
    <t>98.7</t>
  </si>
  <si>
    <t>55.2</t>
  </si>
  <si>
    <t>80.1</t>
  </si>
  <si>
    <t>University of Edinburgh</t>
  </si>
  <si>
    <t>66.9</t>
  </si>
  <si>
    <t>40.9</t>
  </si>
  <si>
    <t>95.6</t>
  </si>
  <si>
    <t>Technical University of Munich</t>
  </si>
  <si>
    <t>Germany</t>
  </si>
  <si>
    <t>69.8</t>
  </si>
  <si>
    <t>82.2</t>
  </si>
  <si>
    <t>84.5</t>
  </si>
  <si>
    <t>77.7</t>
  </si>
  <si>
    <t>University of Hong Kong</t>
  </si>
  <si>
    <t>Hong Kong</t>
  </si>
  <si>
    <t>78.5</t>
  </si>
  <si>
    <t>65.6</t>
  </si>
  <si>
    <t>74.1</t>
  </si>
  <si>
    <t>60.6</t>
  </si>
  <si>
    <t>University of California, San Diego</t>
  </si>
  <si>
    <t>60.2</t>
  </si>
  <si>
    <t>77.2</t>
  </si>
  <si>
    <t>98.2</t>
  </si>
  <si>
    <t>67.8</t>
  </si>
  <si>
    <t>LMU Munich</t>
  </si>
  <si>
    <t>67.3</t>
  </si>
  <si>
    <t>78.3</t>
  </si>
  <si>
    <t>70.5</t>
  </si>
  <si>
    <t>University of Melbourne</t>
  </si>
  <si>
    <t>Australia</t>
  </si>
  <si>
    <t>77.6</t>
  </si>
  <si>
    <t>67.1</t>
  </si>
  <si>
    <t>75.9</t>
  </si>
  <si>
    <t>King’s College London</t>
  </si>
  <si>
    <t>77.1</t>
  </si>
  <si>
    <t>58.0</t>
  </si>
  <si>
    <t>72.9</t>
  </si>
  <si>
    <t>45.6</t>
  </si>
  <si>
    <t>96.1</t>
  </si>
  <si>
    <t>Nanyang Technological University, Singapore</t>
  </si>
  <si>
    <t>77.0</t>
  </si>
  <si>
    <t>60.9</t>
  </si>
  <si>
    <t>77.9</t>
  </si>
  <si>
    <t>87.2</t>
  </si>
  <si>
    <t>94.5</t>
  </si>
  <si>
    <t>London School of Economics and Political Science</t>
  </si>
  <si>
    <t>76.5</t>
  </si>
  <si>
    <t>74.3</t>
  </si>
  <si>
    <t>95.1</t>
  </si>
  <si>
    <t>37.8</t>
  </si>
  <si>
    <t>Georgia Institute of Technology</t>
  </si>
  <si>
    <t>76.0</t>
  </si>
  <si>
    <t>64.9</t>
  </si>
  <si>
    <t>81.2</t>
  </si>
  <si>
    <t>The University of Tokyo</t>
  </si>
  <si>
    <t>Japan</t>
  </si>
  <si>
    <t>55.5</t>
  </si>
  <si>
    <t>86.7</t>
  </si>
  <si>
    <t>43.3</t>
  </si>
  <si>
    <t>University of British Columbia</t>
  </si>
  <si>
    <t>75.7</t>
  </si>
  <si>
    <t>62.9</t>
  </si>
  <si>
    <t>73.1</t>
  </si>
  <si>
    <t>47.9</t>
  </si>
  <si>
    <t>École Polytechnique Fédérale de Lausanne</t>
  </si>
  <si>
    <t>75.4</t>
  </si>
  <si>
    <t>70.7</t>
  </si>
  <si>
    <t>98.0</t>
  </si>
  <si>
    <t>KU Leuven</t>
  </si>
  <si>
    <t>Belgium</t>
  </si>
  <si>
    <t>74.6</t>
  </si>
  <si>
    <t>59.7</t>
  </si>
  <si>
    <t>99.2</t>
  </si>
  <si>
    <t>Universität Heidelberg</t>
  </si>
  <si>
    <t>67.2</t>
  </si>
  <si>
    <t>61.5</t>
  </si>
  <si>
    <t>96.0</t>
  </si>
  <si>
    <t>55.7</t>
  </si>
  <si>
    <t>71.2</t>
  </si>
  <si>
    <t>Monash University</t>
  </si>
  <si>
    <t>73.6</t>
  </si>
  <si>
    <t>56.9</t>
  </si>
  <si>
    <t>68.7</t>
  </si>
  <si>
    <t>91.0</t>
  </si>
  <si>
    <t>Chinese University of Hong Kong</t>
  </si>
  <si>
    <t>73.2</t>
  </si>
  <si>
    <t>61.1</t>
  </si>
  <si>
    <t>McGill University</t>
  </si>
  <si>
    <t>73.0</t>
  </si>
  <si>
    <t>62.0</t>
  </si>
  <si>
    <t>72.4</t>
  </si>
  <si>
    <t>82.5</t>
  </si>
  <si>
    <t>43.5</t>
  </si>
  <si>
    <t>Paris Sciences et Lettres – PSL Research University Paris</t>
  </si>
  <si>
    <t>France</t>
  </si>
  <si>
    <t>68.2</t>
  </si>
  <si>
    <t>73.5</t>
  </si>
  <si>
    <t>75.5</t>
  </si>
  <si>
    <t>78.8</t>
  </si>
  <si>
    <t>76.3</t>
  </si>
  <si>
    <t>University of Illinois at Urbana-Champaign</t>
  </si>
  <si>
    <t>72.7</t>
  </si>
  <si>
    <t>78.9</t>
  </si>
  <si>
    <t>50.1</t>
  </si>
  <si>
    <t>Karolinska Institute</t>
  </si>
  <si>
    <t>Sweden</t>
  </si>
  <si>
    <t>51.1</t>
  </si>
  <si>
    <t>68.8</t>
  </si>
  <si>
    <t>66.4</t>
  </si>
  <si>
    <t>87.3</t>
  </si>
  <si>
    <t>University of Texas at Austin</t>
  </si>
  <si>
    <t>72.3</t>
  </si>
  <si>
    <t>66.2</t>
  </si>
  <si>
    <t>87.5</t>
  </si>
  <si>
    <t>51.3</t>
  </si>
  <si>
    <t>40.1</t>
  </si>
  <si>
    <t>Fudan University</t>
  </si>
  <si>
    <t>72.0</t>
  </si>
  <si>
    <t>71.8</t>
  </si>
  <si>
    <t>45.2</t>
  </si>
  <si>
    <t>Shanghai Jiao Tong University</t>
  </si>
  <si>
    <t>59.9</t>
  </si>
  <si>
    <t>43.7</t>
  </si>
  <si>
    <t>The University of Queensland</t>
  </si>
  <si>
    <t>71.1</t>
  </si>
  <si>
    <t>55.9</t>
  </si>
  <si>
    <t>66.5</t>
  </si>
  <si>
    <t>84.3</t>
  </si>
  <si>
    <t>82.0</t>
  </si>
  <si>
    <t>93.2</t>
  </si>
  <si>
    <t>University of Manchester</t>
  </si>
  <si>
    <t>54.5</t>
  </si>
  <si>
    <t>63.7</t>
  </si>
  <si>
    <t>91.3</t>
  </si>
  <si>
    <t>45.3</t>
  </si>
  <si>
    <t>The University of Sydney</t>
  </si>
  <si>
    <t>53.1</t>
  </si>
  <si>
    <t>65.8</t>
  </si>
  <si>
    <t>88.5</t>
  </si>
  <si>
    <t>90.6</t>
  </si>
  <si>
    <t>Seoul National University</t>
  </si>
  <si>
    <t>South Korea</t>
  </si>
  <si>
    <t>70.8</t>
  </si>
  <si>
    <t>75.2</t>
  </si>
  <si>
    <t>67.6</t>
  </si>
  <si>
    <t>96.6</t>
  </si>
  <si>
    <t>35.9</t>
  </si>
  <si>
    <t>Washington University in St Louis</t>
  </si>
  <si>
    <t>70.6</t>
  </si>
  <si>
    <t>60.3</t>
  </si>
  <si>
    <t>56.8</t>
  </si>
  <si>
    <t>47.5</t>
  </si>
  <si>
    <t>64.0</t>
  </si>
  <si>
    <t>The Hong Kong University of Science and Technology</t>
  </si>
  <si>
    <t>51.4</t>
  </si>
  <si>
    <t>63.4</t>
  </si>
  <si>
    <t>Wageningen University &amp; Research</t>
  </si>
  <si>
    <t>Netherlands</t>
  </si>
  <si>
    <t>70.3</t>
  </si>
  <si>
    <t>50.4</t>
  </si>
  <si>
    <t>University of Amsterdam</t>
  </si>
  <si>
    <t>69.6</t>
  </si>
  <si>
    <t>48.0</t>
  </si>
  <si>
    <t>64.1</t>
  </si>
  <si>
    <t>44.4</t>
  </si>
  <si>
    <t>91.9</t>
  </si>
  <si>
    <t>Brown University</t>
  </si>
  <si>
    <t>69.3</t>
  </si>
  <si>
    <t>64.5</t>
  </si>
  <si>
    <t>39.0</t>
  </si>
  <si>
    <t>63.3</t>
  </si>
  <si>
    <t>Australian National University</t>
  </si>
  <si>
    <t>69.0</t>
  </si>
  <si>
    <t>69.2</t>
  </si>
  <si>
    <t>University of California, Davis</t>
  </si>
  <si>
    <t>68.5</t>
  </si>
  <si>
    <t>66.3</t>
  </si>
  <si>
    <t>80.9</t>
  </si>
  <si>
    <t>52.4</t>
  </si>
  <si>
    <t>University of California, Santa Barbara</t>
  </si>
  <si>
    <t>68.4</t>
  </si>
  <si>
    <t>University of Southern California</t>
  </si>
  <si>
    <t>68.3</t>
  </si>
  <si>
    <t>58.9</t>
  </si>
  <si>
    <t>58.6</t>
  </si>
  <si>
    <t>43.8</t>
  </si>
  <si>
    <t>Utrecht University</t>
  </si>
  <si>
    <t>44.3</t>
  </si>
  <si>
    <t>91.2</t>
  </si>
  <si>
    <t>Zhejiang University</t>
  </si>
  <si>
    <t>68.1</t>
  </si>
  <si>
    <t>74.8</t>
  </si>
  <si>
    <t>62.8</t>
  </si>
  <si>
    <t>55.1</t>
  </si>
  <si>
    <t>Kyoto University</t>
  </si>
  <si>
    <t>77.5</t>
  </si>
  <si>
    <t>79.1</t>
  </si>
  <si>
    <t>52.3</t>
  </si>
  <si>
    <t>88.6</t>
  </si>
  <si>
    <t>40.5</t>
  </si>
  <si>
    <t>University of North Carolina at Chapel Hill</t>
  </si>
  <si>
    <t>46.0</t>
  </si>
  <si>
    <t>41.7</t>
  </si>
  <si>
    <t>Delft University of Technology</t>
  </si>
  <si>
    <t>67.7</t>
  </si>
  <si>
    <t>93.4</t>
  </si>
  <si>
    <t>Boston University</t>
  </si>
  <si>
    <t>67.5</t>
  </si>
  <si>
    <t>56.1</t>
  </si>
  <si>
    <t>92.9</t>
  </si>
  <si>
    <t>41.1</t>
  </si>
  <si>
    <t>65.9</t>
  </si>
  <si>
    <t>UNSW Sydney</t>
  </si>
  <si>
    <t>59.0</t>
  </si>
  <si>
    <t>63.5</t>
  </si>
  <si>
    <t>Charité - Universitätsmedizin Berlin</t>
  </si>
  <si>
    <t>48.5</t>
  </si>
  <si>
    <t>52.2</t>
  </si>
  <si>
    <t>98.8</t>
  </si>
  <si>
    <t>University of Science and Technology of China</t>
  </si>
  <si>
    <t>69.4</t>
  </si>
  <si>
    <t>36.9</t>
  </si>
  <si>
    <t>University of Groningen</t>
  </si>
  <si>
    <t>66.6</t>
  </si>
  <si>
    <t>45.4</t>
  </si>
  <si>
    <t>57.6</t>
  </si>
  <si>
    <t>University of Bristol</t>
  </si>
  <si>
    <t>53.4</t>
  </si>
  <si>
    <t>98.6</t>
  </si>
  <si>
    <t>Leiden University</t>
  </si>
  <si>
    <t>43.2</t>
  </si>
  <si>
    <t>64.4</t>
  </si>
  <si>
    <t>86.6</t>
  </si>
  <si>
    <t>Yonsei University (Seoul campus)</t>
  </si>
  <si>
    <t>68.9</t>
  </si>
  <si>
    <t>63.9</t>
  </si>
  <si>
    <t>52.8</t>
  </si>
  <si>
    <t>Hong Kong Polytechnic University</t>
  </si>
  <si>
    <t>46.6</t>
  </si>
  <si>
    <t>57.0</t>
  </si>
  <si>
    <t>56.0</t>
  </si>
  <si>
    <t>97.6</t>
  </si>
  <si>
    <t>Erasmus University Rotterdam</t>
  </si>
  <si>
    <t>65.7</t>
  </si>
  <si>
    <t>38.6</t>
  </si>
  <si>
    <t>57.1</t>
  </si>
  <si>
    <t>University of Wisconsin-Madison</t>
  </si>
  <si>
    <t>78.7</t>
  </si>
  <si>
    <t>48.4</t>
  </si>
  <si>
    <t>51.8</t>
  </si>
  <si>
    <t>Emory University</t>
  </si>
  <si>
    <t>65.3</t>
  </si>
  <si>
    <t>54.8</t>
  </si>
  <si>
    <t>48.6</t>
  </si>
  <si>
    <t>University of Glasgow</t>
  </si>
  <si>
    <t>50.8</t>
  </si>
  <si>
    <t>96.5</t>
  </si>
  <si>
    <t>41.9</t>
  </si>
  <si>
    <t>93.8</t>
  </si>
  <si>
    <t>University of Zurich</t>
  </si>
  <si>
    <t>51.5</t>
  </si>
  <si>
    <t>50.7</t>
  </si>
  <si>
    <t>McMaster University</t>
  </si>
  <si>
    <t>65.1</t>
  </si>
  <si>
    <t>42.7</t>
  </si>
  <si>
    <t>94.6</t>
  </si>
  <si>
    <t>89.9</t>
  </si>
  <si>
    <t>84.7</t>
  </si>
  <si>
    <t>Humboldt University of Berlin</t>
  </si>
  <si>
    <t>64.3</t>
  </si>
  <si>
    <t>75.6</t>
  </si>
  <si>
    <t>42.8</t>
  </si>
  <si>
    <t>University of Tübingen</t>
  </si>
  <si>
    <t>58.2</t>
  </si>
  <si>
    <t>University of Adelaide</t>
  </si>
  <si>
    <t>64.7</t>
  </si>
  <si>
    <t>92.2</t>
  </si>
  <si>
    <t>University of Bonn</t>
  </si>
  <si>
    <t>64.6</t>
  </si>
  <si>
    <t>51.6</t>
  </si>
  <si>
    <t>Sorbonne University</t>
  </si>
  <si>
    <t>58.7</t>
  </si>
  <si>
    <t>58.3</t>
  </si>
  <si>
    <t>76.6</t>
  </si>
  <si>
    <t>40.0</t>
  </si>
  <si>
    <t>Free University of Berlin</t>
  </si>
  <si>
    <t>64.2</t>
  </si>
  <si>
    <t>62.4</t>
  </si>
  <si>
    <t>Korea Advanced Institute of Science and Technology (KAIST)</t>
  </si>
  <si>
    <t>38.2</t>
  </si>
  <si>
    <t>Université Paris-Saclay</t>
  </si>
  <si>
    <t>56.7</t>
  </si>
  <si>
    <t>54.6</t>
  </si>
  <si>
    <t>69.7</t>
  </si>
  <si>
    <t>University of Bern</t>
  </si>
  <si>
    <t>46.5</t>
  </si>
  <si>
    <t>86.3</t>
  </si>
  <si>
    <t>University of California, Irvine</t>
  </si>
  <si>
    <t>63.6</t>
  </si>
  <si>
    <t>59.4</t>
  </si>
  <si>
    <t>Institut Polytechnique de Paris</t>
  </si>
  <si>
    <t>58.5</t>
  </si>
  <si>
    <t>64.8</t>
  </si>
  <si>
    <t>Nanjing University</t>
  </si>
  <si>
    <t>58.4</t>
  </si>
  <si>
    <t>Vanderbilt University</t>
  </si>
  <si>
    <t>66.7</t>
  </si>
  <si>
    <t>50.6</t>
  </si>
  <si>
    <t>City University of Hong Kong</t>
  </si>
  <si>
    <t>47.2</t>
  </si>
  <si>
    <t>53.0</t>
  </si>
  <si>
    <t>RWTH Aachen University</t>
  </si>
  <si>
    <t>66.1</t>
  </si>
  <si>
    <t>Rank</t>
  </si>
  <si>
    <t>Name</t>
  </si>
  <si>
    <t>Country</t>
  </si>
  <si>
    <t>Overall</t>
  </si>
  <si>
    <t>Teaching</t>
  </si>
  <si>
    <t>Research</t>
  </si>
  <si>
    <t>Citations</t>
  </si>
  <si>
    <t>Industry Income</t>
  </si>
  <si>
    <t>International Outlook</t>
  </si>
  <si>
    <t>World RankInstitution</t>
  </si>
  <si>
    <t>National/Regional Rank</t>
  </si>
  <si>
    <t>Total Score</t>
  </si>
  <si>
    <t>1100.0100.0</t>
  </si>
  <si>
    <t>276.845.0</t>
  </si>
  <si>
    <t>Massachusetts Institute of Technology (MIT)</t>
  </si>
  <si>
    <t>370.172.8</t>
  </si>
  <si>
    <t>169.678.8</t>
  </si>
  <si>
    <t>465.365.4</t>
  </si>
  <si>
    <t>560.062.9</t>
  </si>
  <si>
    <t>258.748.0</t>
  </si>
  <si>
    <t>657.258.5</t>
  </si>
  <si>
    <t>756.156.0</t>
  </si>
  <si>
    <t>University of Chicago</t>
  </si>
  <si>
    <t>855.157.7</t>
  </si>
  <si>
    <t>953.248.3</t>
  </si>
  <si>
    <t>1050.441.7</t>
  </si>
  <si>
    <t>1150.230.7</t>
  </si>
  <si>
    <t>1247.937.7</t>
  </si>
  <si>
    <t>1347.532.9</t>
  </si>
  <si>
    <t>Paris-Saclay University</t>
  </si>
  <si>
    <t>147.027.9</t>
  </si>
  <si>
    <t>1446.823.3</t>
  </si>
  <si>
    <t>University College London</t>
  </si>
  <si>
    <t>346.627.7</t>
  </si>
  <si>
    <t>University of California, San Francisco</t>
  </si>
  <si>
    <t>1545.90.0</t>
  </si>
  <si>
    <t>145.627.2</t>
  </si>
  <si>
    <t>1645.518.5</t>
  </si>
  <si>
    <t>140.516.9</t>
  </si>
  <si>
    <t>440.313.1</t>
  </si>
  <si>
    <t>139.837.4</t>
  </si>
  <si>
    <t>1739.527.2</t>
  </si>
  <si>
    <t>139.39.2</t>
  </si>
  <si>
    <t>Washington University in St. Louis</t>
  </si>
  <si>
    <t>1839.121.4</t>
  </si>
  <si>
    <t>1939.034.2</t>
  </si>
  <si>
    <t>2137.313.1</t>
  </si>
  <si>
    <t>Lp.</t>
  </si>
  <si>
    <t>World Rank</t>
  </si>
  <si>
    <t>Institution</t>
  </si>
  <si>
    <t>Institution2</t>
  </si>
  <si>
    <t>ScoreData</t>
  </si>
  <si>
    <t>37.2</t>
  </si>
  <si>
    <t>20.0</t>
  </si>
  <si>
    <t>The University of Melbourne</t>
  </si>
  <si>
    <t>36.6</t>
  </si>
  <si>
    <t>University of Wisconsin - Madison</t>
  </si>
  <si>
    <t>36.1</t>
  </si>
  <si>
    <t>The University of Edinburgh</t>
  </si>
  <si>
    <t>35.4</t>
  </si>
  <si>
    <t>34.7</t>
  </si>
  <si>
    <t>0.0</t>
  </si>
  <si>
    <t>The University of Texas at Austin</t>
  </si>
  <si>
    <t>34.6</t>
  </si>
  <si>
    <t>The University of Manchester</t>
  </si>
  <si>
    <t>34.5</t>
  </si>
  <si>
    <t>University of Copenhagen</t>
  </si>
  <si>
    <t>34.4</t>
  </si>
  <si>
    <t>PSL University</t>
  </si>
  <si>
    <t>34.3</t>
  </si>
  <si>
    <t>34.2</t>
  </si>
  <si>
    <t>33.9</t>
  </si>
  <si>
    <t>37.1</t>
  </si>
  <si>
    <t>Rockefeller University</t>
  </si>
  <si>
    <t>25-26</t>
  </si>
  <si>
    <t>33.8</t>
  </si>
  <si>
    <t>16.0</t>
  </si>
  <si>
    <t>University of Minnesota, Twin Cities</t>
  </si>
  <si>
    <t>33.6</t>
  </si>
  <si>
    <t>King's College London</t>
  </si>
  <si>
    <t>33.4</t>
  </si>
  <si>
    <t>33.3</t>
  </si>
  <si>
    <t>University of Maryland, College Park</t>
  </si>
  <si>
    <t>33.1</t>
  </si>
  <si>
    <t>University of Colorado at Boulder</t>
  </si>
  <si>
    <t>33.0</t>
  </si>
  <si>
    <t>The University of Texas Southwestern Medical Center at Dallas</t>
  </si>
  <si>
    <t>32.9</t>
  </si>
  <si>
    <t>32.6</t>
  </si>
  <si>
    <t>32.0</t>
  </si>
  <si>
    <t>35.0</t>
  </si>
  <si>
    <t>University of Munich</t>
  </si>
  <si>
    <t>31.4</t>
  </si>
  <si>
    <t>University of Sydney</t>
  </si>
  <si>
    <t>45.0</t>
  </si>
  <si>
    <t>70.1</t>
  </si>
  <si>
    <t>72.8</t>
  </si>
  <si>
    <t>60.0</t>
  </si>
  <si>
    <t>57.2</t>
  </si>
  <si>
    <t>57.7</t>
  </si>
  <si>
    <t>53.2</t>
  </si>
  <si>
    <t>48.3</t>
  </si>
  <si>
    <t>50.2</t>
  </si>
  <si>
    <t>37.7</t>
  </si>
  <si>
    <t>47.0</t>
  </si>
  <si>
    <t>46.8</t>
  </si>
  <si>
    <t>45.9</t>
  </si>
  <si>
    <t>45.5</t>
  </si>
  <si>
    <t>39.8</t>
  </si>
  <si>
    <t>37.4</t>
  </si>
  <si>
    <t>39.5</t>
  </si>
  <si>
    <t>39.3</t>
  </si>
  <si>
    <t>39.1</t>
  </si>
  <si>
    <t>38.0</t>
  </si>
  <si>
    <t>37.3</t>
  </si>
  <si>
    <t>University of Geneva</t>
  </si>
  <si>
    <t>The University of New South Wales</t>
  </si>
  <si>
    <t>30.2</t>
  </si>
  <si>
    <t>30.0</t>
  </si>
  <si>
    <t>University of Oslo</t>
  </si>
  <si>
    <t>Aarhus University</t>
  </si>
  <si>
    <t>Heidelberg University</t>
  </si>
  <si>
    <t>The University of Texas M. D. Anderson Cancer Center</t>
  </si>
  <si>
    <t>Ghent University</t>
  </si>
  <si>
    <t>The Hebrew University of Jerusalem</t>
  </si>
  <si>
    <t>Université Paris Cité</t>
  </si>
  <si>
    <t>Sun Yat-sen University</t>
  </si>
  <si>
    <t>The Australian National University</t>
  </si>
  <si>
    <t>University of Pittsburgh</t>
  </si>
  <si>
    <t>Purdue University - West Lafayette</t>
  </si>
  <si>
    <t>Technion-Israel Institute of Technology</t>
  </si>
  <si>
    <t>University of Basel</t>
  </si>
  <si>
    <t>22.0</t>
  </si>
  <si>
    <t>Weizmann Institute of Science</t>
  </si>
  <si>
    <t>27.0</t>
  </si>
  <si>
    <t>Nanyang Technological University</t>
  </si>
  <si>
    <t>Uppsala University</t>
  </si>
  <si>
    <t>Stockholm University</t>
  </si>
  <si>
    <t>University of Alberta</t>
  </si>
  <si>
    <t>University of Helsinki</t>
  </si>
  <si>
    <t>University of Florida</t>
  </si>
  <si>
    <t>Huazhong University of Science and Technology</t>
  </si>
  <si>
    <t>The University of Hong Kong</t>
  </si>
  <si>
    <t>The University of Western Australia</t>
  </si>
  <si>
    <t>101-150</t>
  </si>
  <si>
    <t>Aix Marseille University</t>
  </si>
  <si>
    <t>Arizona State University</t>
  </si>
  <si>
    <t>40-54</t>
  </si>
  <si>
    <t> Rank</t>
  </si>
  <si>
    <t>University</t>
  </si>
  <si>
    <t>Overall Score</t>
  </si>
  <si>
    <t> Cambridge, United States</t>
  </si>
  <si>
    <t> Shortlist</t>
  </si>
  <si>
    <t> Cambridge, United Kingdom</t>
  </si>
  <si>
    <t> Stanford, United States</t>
  </si>
  <si>
    <t>98.5</t>
  </si>
  <si>
    <t> Oxford, United Kingdom</t>
  </si>
  <si>
    <t>98.4</t>
  </si>
  <si>
    <t>California Institute of Technology (Caltech)</t>
  </si>
  <si>
    <t> Pasadena, United States</t>
  </si>
  <si>
    <t> London, United Kingdom</t>
  </si>
  <si>
    <t> Zürich, Switzerland</t>
  </si>
  <si>
    <t> Chicago, United States</t>
  </si>
  <si>
    <t>National University of Singapore (NUS)</t>
  </si>
  <si>
    <t> Singapore, Singapore</t>
  </si>
  <si>
    <t> Beijing, China (Mainland)</t>
  </si>
  <si>
    <t> Philadelphia, United States</t>
  </si>
  <si>
    <t> Edinburgh, United Kingdom</t>
  </si>
  <si>
    <t>EPFL</t>
  </si>
  <si>
    <t> Lausanne, Switzerland</t>
  </si>
  <si>
    <t>89.2</t>
  </si>
  <si>
    <t> Princeton, United States</t>
  </si>
  <si>
    <t> New Haven, United States</t>
  </si>
  <si>
    <t>Nanyang Technological University, Singapore (NTU Singapore)</t>
  </si>
  <si>
    <t>88.4</t>
  </si>
  <si>
    <t> Ithaca, United States</t>
  </si>
  <si>
    <t> Hong Kong, Hong Kong SAR</t>
  </si>
  <si>
    <t> New York City, United States</t>
  </si>
  <si>
    <t> Tokyo, Japan</t>
  </si>
  <si>
    <t>85.3</t>
  </si>
  <si>
    <t> Baltimore, United States</t>
  </si>
  <si>
    <t>85.1</t>
  </si>
  <si>
    <t> Ann Arbor, United States</t>
  </si>
  <si>
    <t>84.4</t>
  </si>
  <si>
    <t>Université PSL</t>
  </si>
  <si>
    <t> Paris, France</t>
  </si>
  <si>
    <t>83.8</t>
  </si>
  <si>
    <t>University of California, Berkeley (UCB)</t>
  </si>
  <si>
    <t> Berkeley, United States</t>
  </si>
  <si>
    <t> Manchester, United Kingdom</t>
  </si>
  <si>
    <t>82.3</t>
  </si>
  <si>
    <t> Seoul, South Korea</t>
  </si>
  <si>
    <t>Australian National University (ANU)</t>
  </si>
  <si>
    <t> Canberra, Australia</t>
  </si>
  <si>
    <t> Montreal, Canada</t>
  </si>
  <si>
    <t>81.9</t>
  </si>
  <si>
    <t> Evanston, United States</t>
  </si>
  <si>
    <t> Parkville, Australia</t>
  </si>
  <si>
    <t>81.6</t>
  </si>
  <si>
    <t> Shanghai, China (Mainland)</t>
  </si>
  <si>
    <t>81.5</t>
  </si>
  <si>
    <t> Toronto, Canada</t>
  </si>
  <si>
    <t> Kyoto, Japan</t>
  </si>
  <si>
    <t>81.4</t>
  </si>
  <si>
    <t>The Chinese University of Hong Kong (CUHK)</t>
  </si>
  <si>
    <t> Hong Kong SAR, Hong Kong SAR</t>
  </si>
  <si>
    <t>80.6</t>
  </si>
  <si>
    <t>New York University (NYU)</t>
  </si>
  <si>
    <t> Sydney, Australia</t>
  </si>
  <si>
    <t>79.6</t>
  </si>
  <si>
    <t>KAIST - Korea Advanced Institute of Science &amp; Technology</t>
  </si>
  <si>
    <t> Daejeon, South Korea</t>
  </si>
  <si>
    <t> Hangzhou, China (Mainland)</t>
  </si>
  <si>
    <t>University of California, Los Angeles (UCLA)</t>
  </si>
  <si>
    <t> Los Angeles, United States</t>
  </si>
  <si>
    <t>The University of New South Wales (UNSW Sydney)</t>
  </si>
  <si>
    <t>77.4</t>
  </si>
  <si>
    <t> Vancouver, Canada</t>
  </si>
  <si>
    <t> Palaiseau Cedex, France</t>
  </si>
  <si>
    <t> Munich, Germany</t>
  </si>
  <si>
    <t> Durham, United States</t>
  </si>
  <si>
    <t> Brisbane City, Australia</t>
  </si>
  <si>
    <t> Pittsburgh, United States</t>
  </si>
  <si>
    <t>University of California, San Diego (UCSD)</t>
  </si>
  <si>
    <t> San Diego, United States</t>
  </si>
  <si>
    <t>  Hong Kong SAR</t>
  </si>
  <si>
    <t>Tokyo Institute of Technology (Tokyo Tech)</t>
  </si>
  <si>
    <t>72.5</t>
  </si>
  <si>
    <t>The London School of Economics and Political Science (LSE)</t>
  </si>
  <si>
    <t> Melbourne, Australia</t>
  </si>
  <si>
    <t> Amsterdam, Netherlands</t>
  </si>
  <si>
    <t>Ludwig-Maximilians-Universität München</t>
  </si>
  <si>
    <t>70.4</t>
  </si>
  <si>
    <t> Delft, Netherlands</t>
  </si>
  <si>
    <t> Bristol, United Kingdom</t>
  </si>
  <si>
    <t> Providence, United States</t>
  </si>
  <si>
    <t>The University of Warwick</t>
  </si>
  <si>
    <t> Coventry, United Kingdom</t>
  </si>
  <si>
    <t>69.1</t>
  </si>
  <si>
    <t> 69117 Heidelberg,, Germany</t>
  </si>
  <si>
    <t>The Hong Kong Polytechnic University</t>
  </si>
  <si>
    <t>Universidad de Buenos Aires (UBA)</t>
  </si>
  <si>
    <t> Buenos Aires, Argentina</t>
  </si>
  <si>
    <t>Osaka University</t>
  </si>
  <si>
    <t> Osaka City, Japan</t>
  </si>
  <si>
    <t> Gif-sur-Yvette,, France</t>
  </si>
  <si>
    <t>Universiti Malaya (UM)</t>
  </si>
  <si>
    <t> Kuala Lumpur, Malaysia</t>
  </si>
  <si>
    <t>67.9</t>
  </si>
  <si>
    <t>Pohang University of Science And Technology (POSTECH)</t>
  </si>
  <si>
    <t> Pohang , South Korea</t>
  </si>
  <si>
    <t> Austin, United States</t>
  </si>
  <si>
    <t>67.4</t>
  </si>
  <si>
    <t>Yonsei University</t>
  </si>
  <si>
    <t>Korea University</t>
  </si>
  <si>
    <t>Lomonosov Moscow State University</t>
  </si>
  <si>
    <t> Moscow, Russia</t>
  </si>
  <si>
    <t>66.8</t>
  </si>
  <si>
    <t> Leuven, Belgium</t>
  </si>
  <si>
    <t>National Taiwan University (NTU)</t>
  </si>
  <si>
    <t> Taipei City, Taiwan</t>
  </si>
  <si>
    <t>University of Southampton</t>
  </si>
  <si>
    <t> Southampton, United Kingdom</t>
  </si>
  <si>
    <t>Tohoku University</t>
  </si>
  <si>
    <t> Sendai City, Japan</t>
  </si>
  <si>
    <t> Seattle, United States</t>
  </si>
  <si>
    <t> Glasgow, United Kingdom</t>
  </si>
  <si>
    <t> Copenhagen, Denmark</t>
  </si>
  <si>
    <t> Madison, United States</t>
  </si>
  <si>
    <t> Champaign, United States</t>
  </si>
  <si>
    <t>University of Leeds</t>
  </si>
  <si>
    <t> Leeds, United Kingdom</t>
  </si>
  <si>
    <t>The University of Auckland</t>
  </si>
  <si>
    <t> Auckland, New Zealand</t>
  </si>
  <si>
    <t>62.7</t>
  </si>
  <si>
    <t> Atlanta, United States</t>
  </si>
  <si>
    <t>62.3</t>
  </si>
  <si>
    <t>KTH Royal Institute of Technology</t>
  </si>
  <si>
    <t> Stockholm, Sweden</t>
  </si>
  <si>
    <t>62.1</t>
  </si>
  <si>
    <t> Perth, Australia</t>
  </si>
  <si>
    <t>61.7</t>
  </si>
  <si>
    <t>University of Birmingham</t>
  </si>
  <si>
    <t> Birmingham, United Kingdom</t>
  </si>
  <si>
    <t>Durham University</t>
  </si>
  <si>
    <t> Durham, United Kingdom</t>
  </si>
  <si>
    <t>Pennsylvania State University</t>
  </si>
  <si>
    <t> University Park, United States</t>
  </si>
  <si>
    <t>60.8</t>
  </si>
  <si>
    <t> Hefei, China (Mainland)</t>
  </si>
  <si>
    <t>60.7</t>
  </si>
  <si>
    <t>Lund University</t>
  </si>
  <si>
    <t> Lund, Sweden</t>
  </si>
  <si>
    <t>60.1</t>
  </si>
  <si>
    <t>The University of Sheffield</t>
  </si>
  <si>
    <t> Sheffield, United Kingdom</t>
  </si>
  <si>
    <t>59.5</t>
  </si>
  <si>
    <t>University of St Andrews</t>
  </si>
  <si>
    <t> St. Andrews, United Kingdom</t>
  </si>
  <si>
    <t>Trinity College Dublin, The University of Dublin</t>
  </si>
  <si>
    <t> Dublin, Ireland</t>
  </si>
  <si>
    <t>Sungkyunkwan University (SKKU)</t>
  </si>
  <si>
    <t> Suwon, South Korea</t>
  </si>
  <si>
    <t>Rice University</t>
  </si>
  <si>
    <t> Houston, United States</t>
  </si>
  <si>
    <t>Region</t>
  </si>
  <si>
    <t>Score</t>
  </si>
  <si>
    <t>ShortlistNote</t>
  </si>
  <si>
    <t>No.</t>
  </si>
  <si>
    <t>rankingsort descending</t>
  </si>
  <si>
    <t>Impact Rank*</t>
  </si>
  <si>
    <t>Openness Rank*</t>
  </si>
  <si>
    <t>Excellence Rank*</t>
  </si>
  <si>
    <t>University of California Berkeley</t>
  </si>
  <si>
    <t>University of Michigan</t>
  </si>
  <si>
    <t>Columbia University New York</t>
  </si>
  <si>
    <t>University of California Los Angeles UCLA</t>
  </si>
  <si>
    <t>UCL University College London</t>
  </si>
  <si>
    <t>University of California San Diego</t>
  </si>
  <si>
    <t>University of Minnesota System</t>
  </si>
  <si>
    <t>University of Wisconsin Madison</t>
  </si>
  <si>
    <t>Tsinghua University / 清华大学</t>
  </si>
  <si>
    <t>University of Texas Austin</t>
  </si>
  <si>
    <t>University of North Carolina Chapel Hill</t>
  </si>
  <si>
    <t>Eidgenössische Technische Hochschule ETH Zürich / Swiss Federal Institute of Technology Zurich</t>
  </si>
  <si>
    <t>Peking University / 北京大学</t>
  </si>
  <si>
    <t>University of Illinois Urbana Champaign</t>
  </si>
  <si>
    <t>Ohio State University</t>
  </si>
  <si>
    <t>University of California Davis</t>
  </si>
  <si>
    <t>University of California Irvine</t>
  </si>
  <si>
    <t>University of California San Francisco</t>
  </si>
  <si>
    <t>University of New South Wales</t>
  </si>
  <si>
    <t>Washington University Saint Louis</t>
  </si>
  <si>
    <t>University of Maryland College Park</t>
  </si>
  <si>
    <t>Purdue University</t>
  </si>
  <si>
    <t>Michigan State University</t>
  </si>
  <si>
    <t>Rutgers The State University of New Jersey</t>
  </si>
  <si>
    <t>University of Queensland</t>
  </si>
  <si>
    <t>Texas A&amp;M University</t>
  </si>
  <si>
    <t>University of Arizona</t>
  </si>
  <si>
    <t>California Institute of Technology Caltech</t>
  </si>
  <si>
    <t>University of Utah</t>
  </si>
  <si>
    <t>University of Virginia</t>
  </si>
  <si>
    <t>Utrecht University / Universiteit Utrecht</t>
  </si>
  <si>
    <t>University of Tokyo / 東京大学</t>
  </si>
  <si>
    <t>Zhejiang University (National Che Kiang University) / 浙江大学</t>
  </si>
  <si>
    <t>Shanghai Jiao Tong University / 上海交通大学</t>
  </si>
  <si>
    <t>Universidade de São Paulo USP</t>
  </si>
  <si>
    <t>University of Amsterdam / Universiteit van Amsterdam</t>
  </si>
  <si>
    <t>University of Copenhagen / Københavns Universitet</t>
  </si>
  <si>
    <t>University of California Santa Barbara</t>
  </si>
  <si>
    <t>North Carolina State University</t>
  </si>
  <si>
    <t>Catholic University of Leuven / Katholieke Universiteit Leuven</t>
  </si>
  <si>
    <t>University of Iowa</t>
  </si>
  <si>
    <t>Virginia Polytechnic Institute and State University</t>
  </si>
  <si>
    <t>University of Groningen / Rijksuniversiteit Groningen</t>
  </si>
  <si>
    <t>University of Waterloo</t>
  </si>
  <si>
    <t>Technische Universität München</t>
  </si>
  <si>
    <t>University of Calgary</t>
  </si>
  <si>
    <t>Universität Zürich</t>
  </si>
  <si>
    <t>University of Helsinki / Helsingin yliopisto</t>
  </si>
  <si>
    <t>Delft University of Technology TU Delft</t>
  </si>
  <si>
    <t>University of Science &amp; Technology of China / 中国科学技术大学</t>
  </si>
  <si>
    <t>Seoul National University / 서울대학교</t>
  </si>
  <si>
    <t>University of Oslo / Universitetet i Oslo</t>
  </si>
  <si>
    <t>Indiana University Bloomington</t>
  </si>
  <si>
    <t>University of Massachusetts Amherst</t>
  </si>
  <si>
    <t>THE</t>
  </si>
  <si>
    <t>Ranking</t>
  </si>
  <si>
    <t>ARWU</t>
  </si>
  <si>
    <t>QS</t>
  </si>
  <si>
    <t>Webometrics</t>
  </si>
  <si>
    <t>ID</t>
  </si>
  <si>
    <t>StandardizedName</t>
  </si>
  <si>
    <t>IDinTheRanking</t>
  </si>
  <si>
    <t>University of Tokyo</t>
  </si>
  <si>
    <t>Nazwa uczelni</t>
  </si>
  <si>
    <t>THE_ID</t>
  </si>
  <si>
    <t>ARWU_ID</t>
  </si>
  <si>
    <t>QS_ID</t>
  </si>
  <si>
    <t>Webometrics_ID</t>
  </si>
  <si>
    <t>SumaKontrolnaID</t>
  </si>
  <si>
    <t>LiczbaWystąpień</t>
  </si>
  <si>
    <t>Suma końcowa</t>
  </si>
  <si>
    <t>Liczba z Nazwa uczelni</t>
  </si>
  <si>
    <t>Etykiety wierszy</t>
  </si>
  <si>
    <t>Suma z Webometrics</t>
  </si>
  <si>
    <t>Suma z QS</t>
  </si>
  <si>
    <t>Suma z ARWU</t>
  </si>
  <si>
    <t>Suma z THE</t>
  </si>
  <si>
    <t>RankValueInTheRanking</t>
  </si>
  <si>
    <t>THE_RV</t>
  </si>
  <si>
    <t>ARWU_RV</t>
  </si>
  <si>
    <t>QS_RV</t>
  </si>
  <si>
    <t>Webometrics_RV</t>
  </si>
  <si>
    <t>WartośćKontrolna</t>
  </si>
  <si>
    <t>THE_RV1000</t>
  </si>
  <si>
    <t>ARWU_RV1000</t>
  </si>
  <si>
    <t>QS_RV1000</t>
  </si>
  <si>
    <t>Webometrics_RV1000</t>
  </si>
  <si>
    <t>Tablica korelacji RV</t>
  </si>
  <si>
    <t>Tablica korelacji RV1000</t>
  </si>
  <si>
    <t>THE-ARWU</t>
  </si>
  <si>
    <t>THE-QS</t>
  </si>
  <si>
    <t>THE-Webometrics</t>
  </si>
  <si>
    <t>ARWU-QS</t>
  </si>
  <si>
    <t>ARWU-Webometrics</t>
  </si>
  <si>
    <t>QS-Webometrics</t>
  </si>
  <si>
    <t>Tablica korelacji RV parami wspólnych zestawów</t>
  </si>
  <si>
    <t>Średni współczynnik korelacji do pozostałych 3 rankingów top100</t>
  </si>
  <si>
    <t>Ranking RV1000</t>
  </si>
  <si>
    <t>Średnia z korelacji</t>
  </si>
  <si>
    <t>THE-RankingRV1000</t>
  </si>
  <si>
    <t>ARWU-RankingRV1000</t>
  </si>
  <si>
    <t>QS-RankingRV1000</t>
  </si>
  <si>
    <t>Webometrics-RankingRV1000</t>
  </si>
  <si>
    <t>RV1000</t>
  </si>
  <si>
    <t>RV100</t>
  </si>
  <si>
    <t>RV200</t>
  </si>
  <si>
    <t>RV400</t>
  </si>
  <si>
    <t>RV150</t>
  </si>
  <si>
    <t>RV101</t>
  </si>
  <si>
    <t>RV300</t>
  </si>
  <si>
    <t>wartość RV dla zerowych</t>
  </si>
  <si>
    <t>kontrolaLiczbyWystąpień</t>
  </si>
  <si>
    <t>RV250</t>
  </si>
  <si>
    <t>RankingRV250 dla top100 uczelni w THE, ARWU, QS i Webometrics</t>
  </si>
  <si>
    <t>Nazwa Uczelni</t>
  </si>
  <si>
    <t>Miejsce w rankingu RV250</t>
  </si>
  <si>
    <t>Wartość rankingu RV250</t>
  </si>
  <si>
    <t>Miejsce w top100 rankingu THE 2023</t>
  </si>
  <si>
    <t>Miejsce w top100 rankingu ARWU 2023</t>
  </si>
  <si>
    <t>Miejsce w top100 rankingu QS 2023</t>
  </si>
  <si>
    <t>Miejsce w top100 rankingu Webometrics 2023 H1</t>
  </si>
  <si>
    <t>RankingRV250</t>
  </si>
  <si>
    <t>75,0489,53</t>
  </si>
  <si>
    <t>Jagielloński</t>
  </si>
  <si>
    <t>w</t>
  </si>
  <si>
    <t>Krakowie11</t>
  </si>
  <si>
    <t>69,89100,00</t>
  </si>
  <si>
    <t>100,00100,00</t>
  </si>
  <si>
    <t>3Politechnika</t>
  </si>
  <si>
    <t>Warszawska33</t>
  </si>
  <si>
    <t>86,5476,50</t>
  </si>
  <si>
    <t>4=Uniwersytet</t>
  </si>
  <si>
    <t>im.</t>
  </si>
  <si>
    <t>Adama</t>
  </si>
  <si>
    <t>Mickiewicza</t>
  </si>
  <si>
    <t>Poznaniu45</t>
  </si>
  <si>
    <t>65,5386,59</t>
  </si>
  <si>
    <t>4=Akademia</t>
  </si>
  <si>
    <t>Górniczo-Hutnicza</t>
  </si>
  <si>
    <t>Stanisława</t>
  </si>
  <si>
    <t>Staszica</t>
  </si>
  <si>
    <t>Krakowie54</t>
  </si>
  <si>
    <t>78,7289,00</t>
  </si>
  <si>
    <t>6Politechnika</t>
  </si>
  <si>
    <t>Gdańska68</t>
  </si>
  <si>
    <t>78,4288,78</t>
  </si>
  <si>
    <t>7=Gdański</t>
  </si>
  <si>
    <t>Uniwersytet</t>
  </si>
  <si>
    <t>Medyczny86</t>
  </si>
  <si>
    <t>73,4599,17</t>
  </si>
  <si>
    <t>7=Politechnika</t>
  </si>
  <si>
    <t>Wrocławska66</t>
  </si>
  <si>
    <t>78,9984,35</t>
  </si>
  <si>
    <t>9Uniwersytet</t>
  </si>
  <si>
    <t>Medyczny</t>
  </si>
  <si>
    <t>Łodzi1114</t>
  </si>
  <si>
    <t>75,8793,50</t>
  </si>
  <si>
    <t>10=Uniwersytet</t>
  </si>
  <si>
    <t>Wrocławski1310</t>
  </si>
  <si>
    <t>63,1977,35</t>
  </si>
  <si>
    <t>10=Politechnika</t>
  </si>
  <si>
    <t>Łódzka88</t>
  </si>
  <si>
    <t>77,2482,17</t>
  </si>
  <si>
    <t>12Warszawski</t>
  </si>
  <si>
    <t>Medyczny1012</t>
  </si>
  <si>
    <t>88,5674,80</t>
  </si>
  <si>
    <t>13=Uniwersytet</t>
  </si>
  <si>
    <t>Mikołaja</t>
  </si>
  <si>
    <t>Kopernika</t>
  </si>
  <si>
    <t>Toruniu1715</t>
  </si>
  <si>
    <t>65,4184,00</t>
  </si>
  <si>
    <t>13=Politechnika</t>
  </si>
  <si>
    <t>Śląska1315</t>
  </si>
  <si>
    <t>71,4282,57</t>
  </si>
  <si>
    <t>13=Szkoła</t>
  </si>
  <si>
    <t>Główna</t>
  </si>
  <si>
    <t>Handlowa</t>
  </si>
  <si>
    <t>Warszawie1115</t>
  </si>
  <si>
    <t>100,0093,50</t>
  </si>
  <si>
    <t>16=Uniwersytet</t>
  </si>
  <si>
    <t>Gdański2328</t>
  </si>
  <si>
    <t>65,7177,27</t>
  </si>
  <si>
    <t>16=Pomorski</t>
  </si>
  <si>
    <t>Szczecinie1310</t>
  </si>
  <si>
    <t>74,1889,25</t>
  </si>
  <si>
    <t>Karola</t>
  </si>
  <si>
    <t>Marcinkowskiego</t>
  </si>
  <si>
    <t>Poznaniu1721</t>
  </si>
  <si>
    <t>76,2285,00</t>
  </si>
  <si>
    <t>16=Akademia</t>
  </si>
  <si>
    <t>Leona</t>
  </si>
  <si>
    <t>Koźmińskiego</t>
  </si>
  <si>
    <t>Warszawie1315</t>
  </si>
  <si>
    <t>72,4185,00</t>
  </si>
  <si>
    <t>20Uniwersytet</t>
  </si>
  <si>
    <t>Piastów</t>
  </si>
  <si>
    <t>Śląskich</t>
  </si>
  <si>
    <t>we</t>
  </si>
  <si>
    <t>Wrocławiu1712</t>
  </si>
  <si>
    <t>72,4674,80</t>
  </si>
  <si>
    <t>21=Uniwersytet</t>
  </si>
  <si>
    <t>Białymstoku2123</t>
  </si>
  <si>
    <t>69,9585,00</t>
  </si>
  <si>
    <t>Lublinie2115</t>
  </si>
  <si>
    <t>72,7582,88</t>
  </si>
  <si>
    <t>23=Politechnika</t>
  </si>
  <si>
    <t>Poznańska1714</t>
  </si>
  <si>
    <t>79,3174,80</t>
  </si>
  <si>
    <t>23=Uniwersytet</t>
  </si>
  <si>
    <t>Łódzki2315</t>
  </si>
  <si>
    <t>63,7876,50</t>
  </si>
  <si>
    <t>25Uniwersytet</t>
  </si>
  <si>
    <t>Przyrodniczy</t>
  </si>
  <si>
    <t>Wrocławiu2325</t>
  </si>
  <si>
    <t>43,0591,80</t>
  </si>
  <si>
    <t>26Uniwersytet</t>
  </si>
  <si>
    <t>Ekonomiczny</t>
  </si>
  <si>
    <t>Poznaniu2326</t>
  </si>
  <si>
    <t>76,4085,00</t>
  </si>
  <si>
    <t>27Uniwersytet</t>
  </si>
  <si>
    <t>Śląski</t>
  </si>
  <si>
    <t>Katowicach2931</t>
  </si>
  <si>
    <t>56,0174,38</t>
  </si>
  <si>
    <t>28=Uniwersytet</t>
  </si>
  <si>
    <t>Poznaniu3128</t>
  </si>
  <si>
    <t>49,3869,06</t>
  </si>
  <si>
    <t>28=Szkoła</t>
  </si>
  <si>
    <t>Gospodarstwa</t>
  </si>
  <si>
    <t>Wiejskiego</t>
  </si>
  <si>
    <t>Warszawie3023</t>
  </si>
  <si>
    <t>51,3171,27</t>
  </si>
  <si>
    <t>30=Uniwersytet</t>
  </si>
  <si>
    <t>Opolski3840</t>
  </si>
  <si>
    <t>52,0659,50</t>
  </si>
  <si>
    <t>30=SWPS</t>
  </si>
  <si>
    <t>Humanistycznospołeczny</t>
  </si>
  <si>
    <t>Warszawie2730</t>
  </si>
  <si>
    <t>67,3093,50</t>
  </si>
  <si>
    <t>32=Politechnika</t>
  </si>
  <si>
    <t>Lubelska2731</t>
  </si>
  <si>
    <t>63,2983,58</t>
  </si>
  <si>
    <t>32=Uniwersytet</t>
  </si>
  <si>
    <t>Warmińsko-Mazurski</t>
  </si>
  <si>
    <t>Olsztynie3126</t>
  </si>
  <si>
    <t>53,8668,50</t>
  </si>
  <si>
    <t>Częstochowska3842</t>
  </si>
  <si>
    <t>60,5972,25</t>
  </si>
  <si>
    <t>32=Akademia</t>
  </si>
  <si>
    <t>WSB</t>
  </si>
  <si>
    <t>Dąbrowie</t>
  </si>
  <si>
    <t>Górniczej3542</t>
  </si>
  <si>
    <t>51-60</t>
  </si>
  <si>
    <t>73,1759,50</t>
  </si>
  <si>
    <t>Krakowska</t>
  </si>
  <si>
    <t>Tadeusza</t>
  </si>
  <si>
    <t>Kościuszki3540</t>
  </si>
  <si>
    <t>68,3663,14</t>
  </si>
  <si>
    <t>37=Śląski</t>
  </si>
  <si>
    <t>Katowicach3137</t>
  </si>
  <si>
    <t>73,1374,80</t>
  </si>
  <si>
    <t>37=Akademia</t>
  </si>
  <si>
    <t>Ekonomiczno-Humanistyczna</t>
  </si>
  <si>
    <t>Warszawie52-6053-60</t>
  </si>
  <si>
    <t>-</t>
  </si>
  <si>
    <t>66,2659,50</t>
  </si>
  <si>
    <t>39Zachodniopomorski</t>
  </si>
  <si>
    <t>Technologiczny</t>
  </si>
  <si>
    <t>Szczecinie3131</t>
  </si>
  <si>
    <t>65,1959,50</t>
  </si>
  <si>
    <t>40=Uniwersytet</t>
  </si>
  <si>
    <t>Marii</t>
  </si>
  <si>
    <t>Curie-Skłodowskiej</t>
  </si>
  <si>
    <t>Lublinie4334</t>
  </si>
  <si>
    <t>49,3164,14</t>
  </si>
  <si>
    <t>40=Uczelnia</t>
  </si>
  <si>
    <t>Łazarskiego</t>
  </si>
  <si>
    <t>Warszawie3850</t>
  </si>
  <si>
    <t>61-70</t>
  </si>
  <si>
    <t>72,6172,25</t>
  </si>
  <si>
    <t>42=Uniwersytet</t>
  </si>
  <si>
    <t>Białymstoku3836</t>
  </si>
  <si>
    <t>53,1470,83</t>
  </si>
  <si>
    <t>Kardynała</t>
  </si>
  <si>
    <t>Stefana</t>
  </si>
  <si>
    <t>Wyszyńskiego</t>
  </si>
  <si>
    <t>Warszawie4747</t>
  </si>
  <si>
    <t>65,7667,15</t>
  </si>
  <si>
    <t>42=Społeczna</t>
  </si>
  <si>
    <t>Akademia</t>
  </si>
  <si>
    <t>Nauk</t>
  </si>
  <si>
    <t>z</t>
  </si>
  <si>
    <t>siedzibą</t>
  </si>
  <si>
    <t>Łodzi4371-80</t>
  </si>
  <si>
    <t>71-80</t>
  </si>
  <si>
    <t>69,6951,00</t>
  </si>
  <si>
    <t>45=Uniwersytet</t>
  </si>
  <si>
    <t>Wrocławiu3845</t>
  </si>
  <si>
    <t>76,2665,88</t>
  </si>
  <si>
    <t>45=Polsko-Japońska</t>
  </si>
  <si>
    <t>Technik</t>
  </si>
  <si>
    <t>Komputerowych</t>
  </si>
  <si>
    <t>Warszawie4753-60</t>
  </si>
  <si>
    <t>73,4659,50</t>
  </si>
  <si>
    <t>47=Uniwersytet</t>
  </si>
  <si>
    <t>Krakowie4747</t>
  </si>
  <si>
    <t>73,5369,70</t>
  </si>
  <si>
    <t>Zielonogórski5137</t>
  </si>
  <si>
    <t>65,2761,63</t>
  </si>
  <si>
    <t>Rolniczy</t>
  </si>
  <si>
    <t>Hugona</t>
  </si>
  <si>
    <t>Kołłątaja</t>
  </si>
  <si>
    <t>Krakowie52-6037</t>
  </si>
  <si>
    <t>43,6666,79</t>
  </si>
  <si>
    <t>47=Wojskowa</t>
  </si>
  <si>
    <t>Techniczna</t>
  </si>
  <si>
    <t>J.</t>
  </si>
  <si>
    <t>Dąbrowskiego</t>
  </si>
  <si>
    <t>Warszawie4342</t>
  </si>
  <si>
    <t>79,6569,06</t>
  </si>
  <si>
    <t>47=Katolicki</t>
  </si>
  <si>
    <t>Lubelski</t>
  </si>
  <si>
    <t>Jana</t>
  </si>
  <si>
    <t>Pawła</t>
  </si>
  <si>
    <t>II4345</t>
  </si>
  <si>
    <t>57,6062,69</t>
  </si>
  <si>
    <t>52-60Akademia</t>
  </si>
  <si>
    <t>Finansów</t>
  </si>
  <si>
    <t>i</t>
  </si>
  <si>
    <t>Biznesu</t>
  </si>
  <si>
    <t>Vistula4753-60</t>
  </si>
  <si>
    <t>79,9359,50</t>
  </si>
  <si>
    <t>52-60AWF</t>
  </si>
  <si>
    <t>Jerzego</t>
  </si>
  <si>
    <t>Kukuczki</t>
  </si>
  <si>
    <t>Katowicach3553-60</t>
  </si>
  <si>
    <t>55,6985,00</t>
  </si>
  <si>
    <t>52-60Collegium</t>
  </si>
  <si>
    <t>Civitas</t>
  </si>
  <si>
    <t>Warszawie61-7050</t>
  </si>
  <si>
    <t>75,4559,50</t>
  </si>
  <si>
    <t>52-60Politechnika</t>
  </si>
  <si>
    <t>Białostocka52-6053-60</t>
  </si>
  <si>
    <t>61,3763,14</t>
  </si>
  <si>
    <t>Rzeszowska</t>
  </si>
  <si>
    <t>Ignacego</t>
  </si>
  <si>
    <t>Łukasiewicza52-6053-60</t>
  </si>
  <si>
    <t>60,2163,75</t>
  </si>
  <si>
    <t>Świętokrzyska</t>
  </si>
  <si>
    <t>Kielcach52-6071-80</t>
  </si>
  <si>
    <t>56,9064,60</t>
  </si>
  <si>
    <t>52-60Uniwersytet</t>
  </si>
  <si>
    <t>Katowicach52-6047</t>
  </si>
  <si>
    <t>68,1678,63</t>
  </si>
  <si>
    <t>Lublinie52-6034</t>
  </si>
  <si>
    <t>38,6168,00</t>
  </si>
  <si>
    <t>Szczeciński52-6050</t>
  </si>
  <si>
    <t>59,0064,60</t>
  </si>
  <si>
    <t>61-70Akademia</t>
  </si>
  <si>
    <t>Pedagogiki</t>
  </si>
  <si>
    <t>Specjalnej</t>
  </si>
  <si>
    <t>M.</t>
  </si>
  <si>
    <t>Grzegorzewskiej</t>
  </si>
  <si>
    <t>Warszawie61-7061-70</t>
  </si>
  <si>
    <t>75,2059,50</t>
  </si>
  <si>
    <t>Wychowania</t>
  </si>
  <si>
    <t>Fizycznego</t>
  </si>
  <si>
    <t>Sportu</t>
  </si>
  <si>
    <t>Gdańsku61-7061-70</t>
  </si>
  <si>
    <t>59,7968,00</t>
  </si>
  <si>
    <t>61-70Politechnika</t>
  </si>
  <si>
    <t>Bydgoska</t>
  </si>
  <si>
    <t>Śniadeckich61-7061-70</t>
  </si>
  <si>
    <t>68,1255,86</t>
  </si>
  <si>
    <t>Koszalińska71-8071-80</t>
  </si>
  <si>
    <t>60,2255,86</t>
  </si>
  <si>
    <t>Opolska61-7053-60</t>
  </si>
  <si>
    <t>62,0755,25</t>
  </si>
  <si>
    <t>61-70Uniwersytet</t>
  </si>
  <si>
    <t>Humanistyczno-Przyrod.</t>
  </si>
  <si>
    <t>Długosza</t>
  </si>
  <si>
    <t>Częstochowie71-8061-70</t>
  </si>
  <si>
    <t>48,3159,50</t>
  </si>
  <si>
    <t>Kazimierza</t>
  </si>
  <si>
    <t>Wielkiego</t>
  </si>
  <si>
    <t>Bydgoszczy71-8071-80</t>
  </si>
  <si>
    <t>60,1766,79</t>
  </si>
  <si>
    <t>Morski</t>
  </si>
  <si>
    <t>Gdyni61-7071-80</t>
  </si>
  <si>
    <t>80+</t>
  </si>
  <si>
    <t>63,4953,13</t>
  </si>
  <si>
    <t>Pedagogiczny</t>
  </si>
  <si>
    <t>KEN</t>
  </si>
  <si>
    <t>Krakowie61-7061-70</t>
  </si>
  <si>
    <t>55,7077,71</t>
  </si>
  <si>
    <t>Rzeszowski61-7053-60</t>
  </si>
  <si>
    <t>47,3661,63</t>
  </si>
  <si>
    <t>71-80Akademia</t>
  </si>
  <si>
    <t>Morska</t>
  </si>
  <si>
    <t>Szczecinie80+61-70</t>
  </si>
  <si>
    <t>57,1059,50</t>
  </si>
  <si>
    <t>Pomorska</t>
  </si>
  <si>
    <t>Słupsku71-8061-70</t>
  </si>
  <si>
    <t>60,3254,40</t>
  </si>
  <si>
    <t>E.</t>
  </si>
  <si>
    <t>Piaseckiego</t>
  </si>
  <si>
    <t>Poznaniu80+80+</t>
  </si>
  <si>
    <t>58,5151,00</t>
  </si>
  <si>
    <t>Józefa</t>
  </si>
  <si>
    <t>Piłsudskiego</t>
  </si>
  <si>
    <t>Warszawie61-7080+</t>
  </si>
  <si>
    <t>57,5068,00</t>
  </si>
  <si>
    <t>Wrocławiu71-8071-80</t>
  </si>
  <si>
    <t>54,6876,50</t>
  </si>
  <si>
    <t>71-80Dolnośląska</t>
  </si>
  <si>
    <t>Szkoła</t>
  </si>
  <si>
    <t>Wyższa</t>
  </si>
  <si>
    <t>Wrocławiu61-7061-70</t>
  </si>
  <si>
    <t>65,1259,50</t>
  </si>
  <si>
    <t>71-80Uniwersytet</t>
  </si>
  <si>
    <t>Kochanowskiego</t>
  </si>
  <si>
    <t>Kielcach71-8061-70</t>
  </si>
  <si>
    <t>52,2563,14</t>
  </si>
  <si>
    <t>Papieski</t>
  </si>
  <si>
    <t>II</t>
  </si>
  <si>
    <t>Krakowie71-8061-70</t>
  </si>
  <si>
    <t>57,7868,00</t>
  </si>
  <si>
    <t>Przyrodniczo-Humanistyczny</t>
  </si>
  <si>
    <t>Siedlcach71-8053-60</t>
  </si>
  <si>
    <t>52,9559,50</t>
  </si>
  <si>
    <t>71-80Wyższa</t>
  </si>
  <si>
    <t>Bankowa</t>
  </si>
  <si>
    <t>Poznaniu71-8080+</t>
  </si>
  <si>
    <t>70,2334,00</t>
  </si>
  <si>
    <t>80+Akademia</t>
  </si>
  <si>
    <t>Ignatianum</t>
  </si>
  <si>
    <t>Krakowie80+80+</t>
  </si>
  <si>
    <t>52,8959,50</t>
  </si>
  <si>
    <t>Katolicka</t>
  </si>
  <si>
    <t>Warszawie80+90+</t>
  </si>
  <si>
    <t>84,2459,50</t>
  </si>
  <si>
    <t>Marynarki</t>
  </si>
  <si>
    <t>Wojennej</t>
  </si>
  <si>
    <t>Bohaterów</t>
  </si>
  <si>
    <t>Westerplatte</t>
  </si>
  <si>
    <t>Gdyni90+90+</t>
  </si>
  <si>
    <t>56,1546,75</t>
  </si>
  <si>
    <t>Techniczno-Humanistyczna</t>
  </si>
  <si>
    <t>Bielsku-Białej80+71-80</t>
  </si>
  <si>
    <t>62,7154,40</t>
  </si>
  <si>
    <t>Bronisława</t>
  </si>
  <si>
    <t>Czecha</t>
  </si>
  <si>
    <t>Krakowie71-8080+</t>
  </si>
  <si>
    <t>52,5268,00</t>
  </si>
  <si>
    <t>80+Chrześcijańska</t>
  </si>
  <si>
    <t>Teologiczna</t>
  </si>
  <si>
    <t>Warszawie80+80+</t>
  </si>
  <si>
    <t>51,8759,50</t>
  </si>
  <si>
    <t>80+Krakowska</t>
  </si>
  <si>
    <t>A.</t>
  </si>
  <si>
    <t>F.</t>
  </si>
  <si>
    <t>Modrzewskiego80+71-80</t>
  </si>
  <si>
    <t>56,2742,50</t>
  </si>
  <si>
    <t>80+Papieski</t>
  </si>
  <si>
    <t>Wydział</t>
  </si>
  <si>
    <t>Teologiczny</t>
  </si>
  <si>
    <t>Wrocławiu80+80+</t>
  </si>
  <si>
    <t>65,4859,50</t>
  </si>
  <si>
    <t>80+Uniwersytet</t>
  </si>
  <si>
    <t>Technologiczno-Human.</t>
  </si>
  <si>
    <t>K.</t>
  </si>
  <si>
    <t>Pułaskiego</t>
  </si>
  <si>
    <t>Radomiu80+80+</t>
  </si>
  <si>
    <t>61,2246,75</t>
  </si>
  <si>
    <t>80+Wyższa</t>
  </si>
  <si>
    <t>Humanitas</t>
  </si>
  <si>
    <t>Sosnowcu90+80+</t>
  </si>
  <si>
    <t>68,2346,75</t>
  </si>
  <si>
    <t>91+Akademia</t>
  </si>
  <si>
    <t>Humanistyczno-Ekonomiczna</t>
  </si>
  <si>
    <t>Łodzi90+90+</t>
  </si>
  <si>
    <t>75,670,00</t>
  </si>
  <si>
    <t>Jakuba</t>
  </si>
  <si>
    <t>Paradyża</t>
  </si>
  <si>
    <t>Gorzowie</t>
  </si>
  <si>
    <t>Wielkopolskim90+90+</t>
  </si>
  <si>
    <t>55,8040,38</t>
  </si>
  <si>
    <t>91+PWSZ</t>
  </si>
  <si>
    <t>Pr.</t>
  </si>
  <si>
    <t>S.</t>
  </si>
  <si>
    <t>Wojciechowskiego</t>
  </si>
  <si>
    <t>Kaliszu90+90+</t>
  </si>
  <si>
    <t>59,910,00</t>
  </si>
  <si>
    <t>91+Szkoła</t>
  </si>
  <si>
    <t>Służby</t>
  </si>
  <si>
    <t>Pożarniczej--</t>
  </si>
  <si>
    <t>86,0034,00</t>
  </si>
  <si>
    <t>91+Wyższa</t>
  </si>
  <si>
    <t>Gdańsku90+90+</t>
  </si>
  <si>
    <t>62,9246,75</t>
  </si>
  <si>
    <t>Wrocławiu90+90+</t>
  </si>
  <si>
    <t>71,7134,00</t>
  </si>
  <si>
    <t>Kolumna2</t>
  </si>
  <si>
    <t>Kolumna3</t>
  </si>
  <si>
    <t>Kolumna4</t>
  </si>
  <si>
    <t>Kolumna5</t>
  </si>
  <si>
    <t>Kolumna6</t>
  </si>
  <si>
    <t>Kolumna7</t>
  </si>
  <si>
    <t>Kolumna8</t>
  </si>
  <si>
    <t>Kolumna9</t>
  </si>
  <si>
    <t>Kolumna10</t>
  </si>
  <si>
    <t>Kolumna11</t>
  </si>
  <si>
    <t>Kolumna12</t>
  </si>
  <si>
    <t>Kolumna13</t>
  </si>
  <si>
    <t>Kolumna14</t>
  </si>
  <si>
    <t>Kolumna15</t>
  </si>
  <si>
    <t>Kolumna16</t>
  </si>
  <si>
    <t>Kolumna17</t>
  </si>
  <si>
    <t>Kolumna18</t>
  </si>
  <si>
    <t>Kolumna19</t>
  </si>
  <si>
    <t>Kolumna20</t>
  </si>
  <si>
    <t>Kolumna21</t>
  </si>
  <si>
    <t>Kolumna22</t>
  </si>
  <si>
    <t>Kolumna23</t>
  </si>
  <si>
    <t>Kolumna24</t>
  </si>
  <si>
    <t>Kolumna25</t>
  </si>
  <si>
    <t>Kolumna26</t>
  </si>
  <si>
    <t>Kolumna27</t>
  </si>
  <si>
    <t>Kolumna28</t>
  </si>
  <si>
    <t>Kolumna29</t>
  </si>
  <si>
    <t>Kolumna30</t>
  </si>
  <si>
    <t>Kolumna31</t>
  </si>
  <si>
    <t>Kolumna32</t>
  </si>
  <si>
    <t>Kolumna33</t>
  </si>
  <si>
    <t>Kolumna34</t>
  </si>
  <si>
    <t>Kolumna35</t>
  </si>
  <si>
    <t>Kolumna36</t>
  </si>
  <si>
    <t>Kolumna37</t>
  </si>
  <si>
    <t>Kolumna38</t>
  </si>
  <si>
    <t>Uniwersytet Warszawski</t>
  </si>
  <si>
    <t>Nazwa uczelnie</t>
  </si>
  <si>
    <t>Politechnika Warszawska</t>
  </si>
  <si>
    <t>ocena przez kadrę akademicką (10%)</t>
  </si>
  <si>
    <t>uznanie międzynarodowe 2%</t>
  </si>
  <si>
    <t>ekonomiczne losy absolwentów (12%)</t>
  </si>
  <si>
    <t>Wskaźnik rankingowy 2022</t>
  </si>
  <si>
    <t>ocena parametryczna (10%)</t>
  </si>
  <si>
    <t>nasycenie kadry osobami o najwyższych kwalifikacjach (3%)</t>
  </si>
  <si>
    <t>Uprawnienia habilitacyjne (1%)</t>
  </si>
  <si>
    <t>Uprawnienia doktorskie (1%)</t>
  </si>
  <si>
    <t>patenty w Polsce (3%)</t>
  </si>
  <si>
    <t>patenty za granicą (3%)</t>
  </si>
  <si>
    <t>SDG (2%)</t>
  </si>
  <si>
    <t>Finanse na badania (6%)</t>
  </si>
  <si>
    <t>rozwój kady własnej (4%)</t>
  </si>
  <si>
    <t>nadane tytuły i stopnie (3%)</t>
  </si>
  <si>
    <t>publikacje (3%)</t>
  </si>
  <si>
    <t>cytowania (3%)</t>
  </si>
  <si>
    <t xml:space="preserve">FWCI (3%) </t>
  </si>
  <si>
    <t>FWVI (3%)</t>
  </si>
  <si>
    <t>Top10 (3%)</t>
  </si>
  <si>
    <t>dostępność dla studentów (5%)</t>
  </si>
  <si>
    <t>akredytacje (5%)</t>
  </si>
  <si>
    <t>studia w j. obcych (3%)</t>
  </si>
  <si>
    <t>studjujący w j. obcych (2%)</t>
  </si>
  <si>
    <t>studenci cudzoziemcy (3%)</t>
  </si>
  <si>
    <t>ICI - collaboration impact (2%)</t>
  </si>
  <si>
    <t>nauczyciele z zagranicy (1%)</t>
  </si>
  <si>
    <t>wyjazdy na wymiany studenckie (1%)</t>
  </si>
  <si>
    <t>przjazdy na wymiany studenckie (1%)</t>
  </si>
  <si>
    <t>wielokulturowość środowiska studenckiego (1%)</t>
  </si>
  <si>
    <t>Uniwersytety europejskie (1%)</t>
  </si>
  <si>
    <t>Poz.</t>
  </si>
  <si>
    <t>Akademia Górniczo-Hutnicza (AGH)</t>
  </si>
  <si>
    <t>Politechnika Gdańska</t>
  </si>
  <si>
    <t>Politechnika Wrocławska</t>
  </si>
  <si>
    <t>Politechnika Łódzka</t>
  </si>
  <si>
    <t>Politechnika Śląska</t>
  </si>
  <si>
    <t>Politechnika Poznańska</t>
  </si>
  <si>
    <t>Politechnika Lubelska</t>
  </si>
  <si>
    <t>Politechnika Częstochowska</t>
  </si>
  <si>
    <t>Politechnika Krakowska</t>
  </si>
  <si>
    <t>Zachodniopomorski Uniwersytet Technologiczny</t>
  </si>
  <si>
    <t>Wojskowa Akademia Techniczna</t>
  </si>
  <si>
    <t>Politechnika Białostocka</t>
  </si>
  <si>
    <t>Politechnika Rzeszowska</t>
  </si>
  <si>
    <t>Politechnika Świętokrzyska</t>
  </si>
  <si>
    <t>Politechnika Koszalińska</t>
  </si>
  <si>
    <t>Politechnika Opolska</t>
  </si>
  <si>
    <t>Uniwersytet Morski w Gdyni</t>
  </si>
  <si>
    <t>Akademia Morska w Szczecinie</t>
  </si>
  <si>
    <t>Akademia Techniczno-Humanistyczna w Bielsku-Białej</t>
  </si>
  <si>
    <t>Uniwersytet Technologiczno-Humanistyczny w Radomiu</t>
  </si>
  <si>
    <t>WskaźnikOcenyPunktowej</t>
  </si>
  <si>
    <t>wartość korelacji r</t>
  </si>
  <si>
    <t>wartość satystyki p</t>
  </si>
  <si>
    <t>wartość statystyki t</t>
  </si>
  <si>
    <t>N=</t>
  </si>
  <si>
    <t>Prestiż (łącznie ocena przez kadrę i uznanie międzynar - 12%)</t>
  </si>
  <si>
    <t>Potencjał naukowy (łącznie ocena parametryczna, kadra, uprawnienia - 15%)</t>
  </si>
  <si>
    <t>Innowacyjność (łącznie patenty i SDG - 8%)</t>
  </si>
  <si>
    <t>Efektywność naukowa (łącznie efektywność funduszy, rozwój kadry, nadane stopnie i publikacje - 28%)</t>
  </si>
  <si>
    <t>Publikacje naukowe (łącznie publikacje, cytowania FWCI, CWVI, Top10 - 15%)</t>
  </si>
  <si>
    <t>Warunki kształcenia (łącznie dostępność i akredytacje - 10%)</t>
  </si>
  <si>
    <t>Umiędzynarodowienie (łącznie studia, studiujący i nauczyciele zagraniczni , wymiany, ICI i in. - 15%)</t>
  </si>
  <si>
    <t>Korelacja Efektywność naukowa vs Potencjał naukowy</t>
  </si>
  <si>
    <t>Korelacja Efektywność naukowa vs Potencjał naukowy - ocena parametryczna</t>
  </si>
  <si>
    <t>Techniczna_Wartość</t>
  </si>
  <si>
    <t>Suma z U_N</t>
  </si>
  <si>
    <t>Suma z U_N_WZUS</t>
  </si>
  <si>
    <t>Suma z U_N_POZAZUS</t>
  </si>
  <si>
    <t>Średnia z U_E_ZAR_P1</t>
  </si>
  <si>
    <t>Średnia z U_CZY_PRACA_P1</t>
  </si>
  <si>
    <t>IWRA_1R</t>
  </si>
  <si>
    <t>Średnia z U_E_ZAR_P3</t>
  </si>
  <si>
    <t>Średnia z U_CZY_PRACA_P3</t>
  </si>
  <si>
    <t>IWRA_3R</t>
  </si>
  <si>
    <t>1R_WzględnyWskaźnikZarobków</t>
  </si>
  <si>
    <t>3R_WzględnyWskaźnikZarobków</t>
  </si>
  <si>
    <t>Uniwersytet Technologiczno-Przyrodniczy w Bydgoszczy</t>
  </si>
  <si>
    <t>porównaj</t>
  </si>
  <si>
    <t>ranking</t>
  </si>
  <si>
    <t>University of Warsaw / Uniwersytet Warszawski</t>
  </si>
  <si>
    <t>Jagiellonian University / Uniwersytet Jagielloński</t>
  </si>
  <si>
    <t>AGH University of Science &amp; Technology / Akademia Górniczo-Hutnicza Stanisława Staszica w Krakowie</t>
  </si>
  <si>
    <t>Adam Mickiewicz University Poznan / Uniwersytet Adama Mickiewicza w Poznaniu</t>
  </si>
  <si>
    <t>Warsaw University of Technology / Politechnika Warszawska</t>
  </si>
  <si>
    <t>Nicolaus Copernicus University / Uniwersytet Mikołaja Kopernika w Toruniu</t>
  </si>
  <si>
    <t>Poznan University of Technology / Politechnika Poznańska</t>
  </si>
  <si>
    <t>Wrocław University of Science and Technology (Politechnika Wrocławska)</t>
  </si>
  <si>
    <t>Silesian University of Technology in Gliwice / Politechnika Śląska w Gliwicach</t>
  </si>
  <si>
    <t>Lodz University of Technology / Politechnika Łódzka</t>
  </si>
  <si>
    <t>University of Lodz / Uniwersytet Łódzki</t>
  </si>
  <si>
    <t>Medical University of Warsaw / Warszawski Uniwersytet Medyczny</t>
  </si>
  <si>
    <t>University of Gdansk / Uniwersytet Gdański</t>
  </si>
  <si>
    <t>Rzeszow University of Technology / Politechnika Rzeszowska Ignacego Łukasiewicza</t>
  </si>
  <si>
    <t>University of Silesia in Katowice / Uniwersytet Śląski w Katowicach</t>
  </si>
  <si>
    <t>Gdansk University of Technology / Politechnika Gdańska</t>
  </si>
  <si>
    <t>University of Warmia and Mazury / Uniwersytet Warmińsko-Mazurski w Olsztynie (Akademia Rolniczo-Techniczna w Olsztynie)</t>
  </si>
  <si>
    <t>Technical University of Czestochowa / Politechnika Częstochowska</t>
  </si>
  <si>
    <t>Tadeusz Kościuszko Cracow University of Technology / Politechnika Krakowska Tadeusza Kościuszki</t>
  </si>
  <si>
    <t>Lublin University of Technology / Politechnika Lubelska</t>
  </si>
  <si>
    <t>University of Zielona Góra / Uniwersytet Zielonogórski</t>
  </si>
  <si>
    <t>Maria Curie Sklodowska University / Uniwersytet Marii Curie-Skłodowskiej w Lublinie</t>
  </si>
  <si>
    <t>Warsaw University of Life Sciences (Agricultural University) / Szkoła Główna Gospodarstwa Wiejskiego w Warszawie</t>
  </si>
  <si>
    <t>Poznan University of Medical Sciences / Uniwersytet Medyczny Karola Marcinkowskiego w Poznaniu</t>
  </si>
  <si>
    <t>Medical University of Wroclaw / Uniwersytet Medyczny Piastów Śląskich we Wrocławiu</t>
  </si>
  <si>
    <t>(1) Medical University of Gdansk / Gdański Uniwersytet Medyczny</t>
  </si>
  <si>
    <t>West Pomeranian University of Technology / Zachodniopomorski Uniwersytet Technologiczny w Szczecinie</t>
  </si>
  <si>
    <t>Bialystok University of Technology / Politechnika Białostocka</t>
  </si>
  <si>
    <t>University at Bialystok / Uniwersytet w Białymstoku</t>
  </si>
  <si>
    <t>Pedagogical University of Cracow / Uniwersytet Pedagogiczny Komisji Edukacji Narodowej w Krakowie</t>
  </si>
  <si>
    <t>Wrocław University of Environmental and Life Sciences (Agricultural University) / Uniwersytet Przyrodniczy we Wrocławiu</t>
  </si>
  <si>
    <t>Medical University of Silesia in Katowice / Śląski Uniwersytet Medyczny w Katowicach</t>
  </si>
  <si>
    <t>University of Life Sciences in Lublin (Agricultural University) / Uniwersytet Przyrodniczy w Lublinie</t>
  </si>
  <si>
    <t>Medical University of Lublin / Uniwersytet Medyczny w Lublinie</t>
  </si>
  <si>
    <t>Poznan University of Economics / Uniwersytet Ekonomiczny w Poznaniu</t>
  </si>
  <si>
    <t>University of Rzeszow / Uniwersytet Rzeszowski</t>
  </si>
  <si>
    <t>Warsaw School of Economics / Szkoła Główna Handlowa w Warszawie</t>
  </si>
  <si>
    <t>Military University of Technology in Warsaw / Wojskowa Akademia Techniczna Jarosława Dąbrowskiego w Warszawie</t>
  </si>
  <si>
    <t>Cracow University of Economics / Uniwersytet Ekonomiczny w Krakowie</t>
  </si>
  <si>
    <t>Cardinal Stefan Wyszynski University Warsaw / Uniwersytet Kardynała Stefana Wyszyńskiego w Warszawie</t>
  </si>
  <si>
    <t>Agricultural University of Cracow / Uniwersytet Rolniczy w Krakowie</t>
  </si>
  <si>
    <t>Szczecin University / Uniwersytet Szczeciński</t>
  </si>
  <si>
    <t>Kazimierz Wielki University Bydgoszcz / Uniwersytet Kazimierza Wielkiego w Bydgoszczy</t>
  </si>
  <si>
    <t>Pomeranian Medical University / Pomorski Uniwersytet Medyczny w Szczecinie</t>
  </si>
  <si>
    <t>Medical University of Lodz / Uniwersytet Medyczny w Łodzi</t>
  </si>
  <si>
    <t>Wroclaw University of Economics / Uniwersytet Ekonomiczny we Wrocławiu</t>
  </si>
  <si>
    <t>Politechnika Bydgoska im. Jana i Jędrzeja Śniadeckich</t>
  </si>
  <si>
    <t>Technical University of Koszalin / Politechnika Koszalińska</t>
  </si>
  <si>
    <t>Leon Kozminski Academy of Entrepreneurship and Management / Akademia Leona Koźmińskiego w Warszawie</t>
  </si>
  <si>
    <t>Catholic University of Lublin / Katolicki Uniwersytet Lubelski Jana Pawła II</t>
  </si>
  <si>
    <t>Medical University of Bialystok / Uniwersytet Medyczny w Białymstoku</t>
  </si>
  <si>
    <t>Gdynia Maritime University / Uniwersytet Morski w Gdyni</t>
  </si>
  <si>
    <t>Kielce University of Technology / Politechnika Świętokrzyska w Kielcach</t>
  </si>
  <si>
    <t>SWPS University of Social Sciences and Humanities / SWPS Uniwersytet Humanistrycznospołeczny.</t>
  </si>
  <si>
    <t>University of Economics in Katowice / Uniwersytet Ekonomiczny w Katowicach</t>
  </si>
  <si>
    <t>Jan Kochanowski University of Humanities and Sciences (Swietokrzyska Pedagogical University) / Uniwersytet Humanistyczno Przyrodniczy Jana Kochanowskiego w Kielcach</t>
  </si>
  <si>
    <t>Poznań University of Life Sciences / Uniwersytet Przyrodniczy w Poznaniu</t>
  </si>
  <si>
    <t>University of Opole / Uniwersytet Opolski</t>
  </si>
  <si>
    <t>University of Natural Sciences and the Humanities in Siedlce / Uniwersytet Przyrodniczo-Humanistyczny w Siedlcach</t>
  </si>
  <si>
    <t>University of Bielsko-Biala / Akademia Techniczno Humanistyczna w Bielsku-Białej</t>
  </si>
  <si>
    <t>Academy of Physical Education in Katowice / Akademia Wychowania Fizycznego Jerzego Kukuczki w Katowicach</t>
  </si>
  <si>
    <t>Jan Dlugosz University in Czestochowa / Uniwersytet Humanistyczno-Przyrodniczy Jana Długosza w Częstochowie</t>
  </si>
  <si>
    <t>High School of Economics and Innovation in Lublin / Wyższa Szkoła Ekonomii i Innowacji w Lublinie</t>
  </si>
  <si>
    <t>Academy of Physical Education in Wroclaw / Akademia Wychowania Fizycznego we Wrocławiu</t>
  </si>
  <si>
    <t>University of Information Technology and Management in Rzeszow / Wyższa Szkoła Informatyki i Zarządzania z siedzibą w Rzeszowie</t>
  </si>
  <si>
    <t>Medical Centre of Postgraduate Education</t>
  </si>
  <si>
    <t>Jozef Pilsudski University of Physical Education in Warsaw / Akademia Wychowania Fizycznego Józefa Piłsudskiego w Warszawie</t>
  </si>
  <si>
    <t>Polish Japanese Institute of Information Technology in Warsaw / Polsko Japońska Wyższa Szkoła Technik Komputerowych w Warszawie</t>
  </si>
  <si>
    <t>(3) University of Warsaw Faculty of Mathematics Informatics and Mechanics / Uniwersytetu Warszawskiego Wydział Matematyki, Informatyki i Mechaniki</t>
  </si>
  <si>
    <t>Academy of Management in Lodz / Społeczna Akademia Nauk (Wyższa Szkoła Przedsiębiorczości i Zarządzania w Łodzi)</t>
  </si>
  <si>
    <t>Naval Academy in Gdynia / Akademia Marynarki Wojennej Bohaterów Westerplatte w Gdyni</t>
  </si>
  <si>
    <t>Radom University of Technology Kazimierza Pulaskiego / Politechnika Radomska Kazimierza Pułaskiego</t>
  </si>
  <si>
    <t>Academy of Physical Education and Sport in Gdansk / Akademia Wychowania Fizycznego i Sportu Jędrzeja Śniadeckiego w Gdańsku</t>
  </si>
  <si>
    <t>Akademia Ekonomiczno-Humanistyczna w Warszawie</t>
  </si>
  <si>
    <t>(3) University of Warsaw Faculty of Physics / Uniwersytetu Warszawskiego Wydział Fizyki</t>
  </si>
  <si>
    <t>Academy of Physical Education in Cracow / Akademia Wychowania Fizycznego Bronisława Czecha w Krakowie</t>
  </si>
  <si>
    <t>Technical University of Fire Service / Szkoła Główna Służby Pożarniczej</t>
  </si>
  <si>
    <t>University of Wroclaw / Uniwersytet Wrocławski</t>
  </si>
  <si>
    <t>Pomorska Pedagogical University in Slupsk / Akademia Pomorska w Słupsku</t>
  </si>
  <si>
    <t>Eugeniusz Piasecki University School of Physical Education in Poznan / Akademia Wychowania Fizycznego Eugeniusza Piaseckiego w Poznaniu</t>
  </si>
  <si>
    <t>Opole University of Technology / Politechnika Opolska</t>
  </si>
  <si>
    <t>Air Force Institute of Technology / Instytut Techniczny Wojsk Lotniczych</t>
  </si>
  <si>
    <t>Medical Academy Ludwik Rydygier in Bydgoszcz / Collegium Medicum w Bydgoszczy</t>
  </si>
  <si>
    <t>WSB University / Akademia WSB</t>
  </si>
  <si>
    <t>Pontifical University John Paul II / Uniwersytet Papieski Jana Pawła II w Krakowie</t>
  </si>
  <si>
    <t>Warsaw School of Information Technology / Wyższa Szkoła Informatyki Stosowanej i Zarządzania w Warszawie</t>
  </si>
  <si>
    <t>(3) Jagiellonian University Medical College in Cracow / Uniwersytet Jagielloński Collegium Medicum</t>
  </si>
  <si>
    <t>Jesuit University of Philosophy and Education Ignatianum Cracow / Wyższa Szkoła Filozoficzno-Pedagogiczna Ignatianum w Krakowie</t>
  </si>
  <si>
    <t>Academy of Special Education Maria Grzegorzewskiej / Akademia Pedagogiki Specjalnej Marii Grzegorzewskiej w Warszawie</t>
  </si>
  <si>
    <t>Vistula University (University of Economics and Computer Science in Warsaw) / Uczelnia Vistula</t>
  </si>
  <si>
    <t>WSB School of Banking / Wyższa Szkoła Bankowa</t>
  </si>
  <si>
    <t>Education Development Center / Ośrodek Rozwoju Edukacji</t>
  </si>
  <si>
    <t>Polish Institute of International Affairs / Polski Instytut Spraw Międzynarodowych</t>
  </si>
  <si>
    <t>College of Computer Science in Lodz / Wyższa Szkoła Informatyki w Łodzi</t>
  </si>
  <si>
    <t>University of Lower Silesia / Dolnośląska Szkoła Wyższa we Wrocławiu</t>
  </si>
  <si>
    <t>Jan Matejko Academy of Fine Arts in Cracow / Akademia Sztuk Pięknych Jana Matejki w Krakowie</t>
  </si>
  <si>
    <t>(3) University of Warsaw Astronomical Observatory / Uniwersytetu Warszawskiego Obserwatorium Astronomiczne</t>
  </si>
  <si>
    <t>Lazarski University / Uczelnia Łazarskiego Warszawa</t>
  </si>
  <si>
    <t>Academy of Music in Cracow / Akademia Muzyczna w Krakowie</t>
  </si>
  <si>
    <t>State Higher Vocational School in Jaroslaw / Państwowa Wyższa Szkoła Techniczno-Ekonomiczna ks Bronisława Markiewicza w Jarosławiu</t>
  </si>
  <si>
    <t>Fine Arts Academy Warsaw / Akademia Sztuk Pięknych w Warszawie</t>
  </si>
  <si>
    <t>Collegium Civitas in Warsaw / Collegium Civitas w Warszawie</t>
  </si>
  <si>
    <t>Tischner European University in Cracow / Wyższa Szkoła Europejska</t>
  </si>
  <si>
    <t>National Film Television and Theatre School in Lodz / Państwowa Wyższa Szkoła Filmowa Telewizyjna i Teatralna L Schillera w Łódźi</t>
  </si>
  <si>
    <t>University of Arts in Poznań / Uniwersytet Artystyczny w Poznaniu</t>
  </si>
  <si>
    <t>Andrzej Frycz Modrzewski Krakow University College / Krakowska Akademia im Andrzeja Frycza Modrzewskiego</t>
  </si>
  <si>
    <t>Higher School of Business National Louis University in Nowy Sącz / Wyższa Szkoła Biznesu National-Louis University w Nowym Sączu</t>
  </si>
  <si>
    <t>Fryderyk Chopin University of Music / Uniwersytet Muzyczny Fryderyka Chopina</t>
  </si>
  <si>
    <t>Fine Arts Academy Wroclaw / Akademia Sztuk Pięknych we Wrocławiu</t>
  </si>
  <si>
    <t>University of Humanities and Economics in Lodz / Akademia Humanistyczno-Ekonomiczna w Łodzi</t>
  </si>
  <si>
    <t>State Higher Vocational School in Glogów / Państwowa Wyższa Szkoła Zawodowa w Głogowie</t>
  </si>
  <si>
    <t>Academy of Music Poznan Ignacy Jana Paderewski / Akademia Muzyczna w Poznaniu</t>
  </si>
  <si>
    <t>Academy of Fine Arts in Gdansk / Akademia Sztuk Pięknych w Gdańsku</t>
  </si>
  <si>
    <t>Academy of Fine Arts in Łódź / Akademia Sztuk Pięknych Władysława Strzemińskiego w Łodzi</t>
  </si>
  <si>
    <t>Academy of Computer Science and Management in Bielsko-Biała / Wyższa Szkoła Informatyki i Zarządzania Bielsko-Biała</t>
  </si>
  <si>
    <t>University of Economy in Bydgoszczy / Wyższa Szkoła Gospodarki w Bydgoszczy</t>
  </si>
  <si>
    <t>Cosinus Higher School in Lodz / Wyższa Szkoła Cosinus</t>
  </si>
  <si>
    <t>School of Banking and Management in Cracow / Wyższa Szkoła Zarządzania i Bankowości w Krakowie</t>
  </si>
  <si>
    <t>Academy of Music in Bydgoszcz / Akademia Muzyczna Feliksa Nowowiejskiego w Bydgoszczy</t>
  </si>
  <si>
    <t>College of Social and Media Studies in Toruń / Wyższa Szkoła Kultury Społecznej i Medialnej w Toruniu</t>
  </si>
  <si>
    <t>Grazyna and Kiejstut Bacewicz Academy of Music in Lodz / Akademia Muzyczna w Łodzi</t>
  </si>
  <si>
    <t>Academy of Music Gdansk Stanislaw Moniuszko / Akademia Muzyczna w Gdańsku</t>
  </si>
  <si>
    <t>Karol Lipinski University of Music in Wroclaw / Akademia Muzyczna Karola Lipińskiego we Wrocławiu</t>
  </si>
  <si>
    <t>Academy of Fine Arts in Katowice / Akademia Sztuk Pięknych w Katowice</t>
  </si>
  <si>
    <t>Aleksander Zelwerowicz State Theatre Academy / Akademia Teatralna Aleksandra Zelwerowicza w Warszawie</t>
  </si>
  <si>
    <t>Business and Administration School in Gdynia / Wyższa Szkoła Administracji i Biznesu Eugeniusza Kwiatkowskiego w Gdyni</t>
  </si>
  <si>
    <t>Karol Szymanowski Academy of Music in Katowice / Akademia Muzyczna Karola Szymanowskiego w Katowicach</t>
  </si>
  <si>
    <t>Higher School of Safety in Poznań / Wyższa Szkoła Bezpieczeństwa w Poznaniu</t>
  </si>
  <si>
    <t>University of Ecology and Management in Warsaw / Wyższa Szkoła Ekologii i Zarządzania w Warszawie (Architektura Urbanistyka Ochrona Środowiska Zarządzanie)</t>
  </si>
  <si>
    <t>Collegium Da Vinci in Poznań</t>
  </si>
  <si>
    <t>Humanitas Academy in Sosnowiec / Wyższa Szkoła Humanitas w Sosnowcu</t>
  </si>
  <si>
    <t>University of Technology and Economics Helena Chodkowska / Uczelnia Techniczno-Handlowa im Heleny Chodkowskiej</t>
  </si>
  <si>
    <t>Katowice School of Economics / Górnośląska Wyższa Szkoła Handlowa Wojciecha Korfantego w Katowicach</t>
  </si>
  <si>
    <t>Higher School of Police in Szczytno / Wyższa Szkoła Policji w Szczytnie</t>
  </si>
  <si>
    <t>Ateneum Higher School in Gdańsk / Ateneum Szkoła Wyższa Twoja Uczelnia Humanistyczna</t>
  </si>
  <si>
    <t>West Pomeranian Business School / Zachodniopomorska Szkoła Biznesu w Szczecinie</t>
  </si>
  <si>
    <t>Kujawy and Pomorze University in Bydgoszcz / Kujawsko-Pomorska Szkoła Wyższa w Bydgoszczy</t>
  </si>
  <si>
    <t>Higher School of Economics and Computer Science in Cracow / Wyższa Szkoła Ekonomii i Informatyki</t>
  </si>
  <si>
    <t>Art Academy of Szczecin / Art Academy of Szczecin</t>
  </si>
  <si>
    <t>Bogdan Janski Academy / Szkoła Wyższa Bogdana Jańskiego w Warszawie</t>
  </si>
  <si>
    <t>State Higher Vocational School in Biala Podlaska / Państwowa Szkoła Wyższa Papieża J.P II w Białej Podlaskiej</t>
  </si>
  <si>
    <t>PWST National Academy of Theatre Arts Cracow/ Akademia Sztuk Teatralnych im. Stanisława Wyspiańskiego w Krakowie AST Kraków</t>
  </si>
  <si>
    <t>Technical Higher School in Katowice / Wyższa Szkoła Techniczna w Katowicach</t>
  </si>
  <si>
    <t>College of Enterprise and Administration in Lublin / Wyższa Szkoła Przedsiębiorczości i Administracji w Lublinie</t>
  </si>
  <si>
    <t>Higher School of Finance and Accountancy in Sopot / Sopocka Szkoła Wyższa</t>
  </si>
  <si>
    <t>Poznań School of Logistics / Wyższa Szkoła Logistyki w Poznaniu</t>
  </si>
  <si>
    <t>Polonia University in Częstochowa / Akademia Polonijna w Częstochowie</t>
  </si>
  <si>
    <t>Warsaw School of Computer Science / Warszawska Wyższa Szkoła Informatyki</t>
  </si>
  <si>
    <t>School of Economics and Law Kielce / Wyższa Szkoła Ekonomii i Prawa prof Edwarda Lipińskiego w Kielcach</t>
  </si>
  <si>
    <t>College of Management and Public Administration in Zamość / Wyższa Szkoła Zarządzania i Administracji w Zamościu</t>
  </si>
  <si>
    <t>School of Public Administration and Management in Przemyśl / Wyższa Szkoła Prawa i Administracji w Przemyślu</t>
  </si>
  <si>
    <t>Jacob of Paradies University / Akademia im. Jakuba z Paradyża w Gorzowie Wielkopolskim</t>
  </si>
  <si>
    <t>Carpathian State University in Krosno / Karpacka Państwowa Uczelnia w Krośnie</t>
  </si>
  <si>
    <t>Poznań College of Foreign Languages / Wyższa Szkoła Języków Obcych Samuela Bogumiła Lindego w Poznaniu</t>
  </si>
  <si>
    <t>National School of Public Administration Poland / Krajowa Szkoła Administracji Publicznej</t>
  </si>
  <si>
    <t>University of Work Safety Management in Katowice / Wyższa Szkoła Zarządzania Ochroną Pracy w Katowicach</t>
  </si>
  <si>
    <t>Szczecińska Szkoła Wyższa Collegium Balticum (Stargardinum Stargardzka Szkoła Wyższa w Stargardzie Szczecińskim)</t>
  </si>
  <si>
    <t>Christian Theological Academy in Warsaw / Chrześcijańska Akademia Teologiczna w Warszawie</t>
  </si>
  <si>
    <t>Alcide de Gasperi Higher School of Euroregional Economy in Jozefow / Wyższa Szkoła Gospodarki Euroregionalnej Alcide De Gasperi w Józefowie</t>
  </si>
  <si>
    <t>Academy of Management and Administration in Opole / Wyższa Szkoła Zarządzania i Administracji w Opolu</t>
  </si>
  <si>
    <t>Gdansk Higher School of Humanities / Gdańska Wyższa Szkoła Humanistyczna</t>
  </si>
  <si>
    <t>Linguistic and Technical University in Świecie / Uczelnia Lingwistyczno-Techniczna w Świeciu</t>
  </si>
  <si>
    <t>State Higher Vocational School in Legnica / Pañstwowa Wy¿sza Szko³a Zawodowa Witelona w Legnicy</t>
  </si>
  <si>
    <t>Pontifical Faculty of Theology in Wroclaw / Papieski Wydział Teologiczny we Wrocławiu</t>
  </si>
  <si>
    <t>College of Foreign Languages in Czestochowa / Wyższa Szkoła Lingwistyczna w Częstochowie</t>
  </si>
  <si>
    <t>Wyższa Szkoła Prawa</t>
  </si>
  <si>
    <t>Aleksander Zelwerowicz State Theatre Academy</t>
  </si>
  <si>
    <t>Collegium Humanum Warsaw Management University / Collegium Humanum Szkoła Główna Menedżerska</t>
  </si>
  <si>
    <t>University of Finance and Management in Białystok / Wyższa Szkoła Finansów i Zarządzania w Białymstoku</t>
  </si>
  <si>
    <t>International School of Logistics and Transport in Wroclaw / Międzynarodowa Wyższa Szkoła we Wrocławiu</t>
  </si>
  <si>
    <t>State Higher Vocational School in Przemysl / Państwowa Wyższa Szkoła Wschodnioeuropejska w Przemyślu</t>
  </si>
  <si>
    <t>College of Therapy in Poznań / Wyższa Szkoła Edukacji i Terapii w Poznaniu</t>
  </si>
  <si>
    <t>Wrocławska Akademia Biznesu w Naukach Stosowanych</t>
  </si>
  <si>
    <t>Higher School of Business and Health Science in Lodz / Wyższa Szkoła Biznesu i Nauk o Zdrowiu w Łodzi</t>
  </si>
  <si>
    <t>University of Business and Enterprise in Ostrowiec Świętokrzyski / Wyższa Szkoła Biznesu i Przedsiębiorczości w Ostrowcu Świętokrzyskim</t>
  </si>
  <si>
    <t>Warszawska Szkoła Filmowa z siedzibą w Warszawie</t>
  </si>
  <si>
    <t>Warsaw Humanistic Higher School / Warszawska Wyższa Szkoła Humanistyczna B Prusa</t>
  </si>
  <si>
    <t>Higher School of Banking and Finance Katowice / Wyższa Szkoła Bankowości i Finansów w Katowicach</t>
  </si>
  <si>
    <t>(1) WUT Business School / Szkoła Biznesu Politechniki Warszawskiej</t>
  </si>
  <si>
    <t>Gdansk Management College / Wyższa Szkoła Zarządzania w Gdańsku</t>
  </si>
  <si>
    <t>Malopolska School of Economics in Tarnow / Małopolska Wyższa Szkoła Ekonomiczna w Tarnowie</t>
  </si>
  <si>
    <t>Polish Virtual University / Polski Uniwersytet Wirtualny</t>
  </si>
  <si>
    <t>Higher School of Tourism and Ecology in Sucha Beskidzka / Wyższa Szkoła Turystyki i Ekologii w Suchej Beskidzkiej</t>
  </si>
  <si>
    <t>Cracow Higher School of the Health Promotion / Krakowska Wyższa Szkoła Promocji Zdrowia</t>
  </si>
  <si>
    <t>Bialystok School of Economics / Wyższa Szkoła Ekonomiczna w Białymstoku</t>
  </si>
  <si>
    <t>Higher School of Business in Warsaw / Wyższa Szkoła Biznesu w Warszawie</t>
  </si>
  <si>
    <t>University of Mazovia in Warsaw / Wyższa Szkoła Mazowiecka w Warszawie</t>
  </si>
  <si>
    <t>Wałbrzych Higher School of Management and Enterprise / Wałbrzyska Wyższa Szkoła Zarządzania i Przedsiębiorczości</t>
  </si>
  <si>
    <t>PWST National Academy of Theatre Arts Cracow Branch Wroclau / Akademia Sztuk Teatralnych im. Stanisława Wyspiańskiego w Krakowie Filia we Wrocławiu AST Wrocław</t>
  </si>
  <si>
    <t>University of Applied Sciences in Nysa / Państwowa Akademia Nauk Stosowanych w Nysie</t>
  </si>
  <si>
    <t>Akademia Nauk Stosowanych w Łomży</t>
  </si>
  <si>
    <t>Bielsko-Biała School of Finance and Law / Wyższa Szkoła Bankowości i Finansów w Bielsku-Białej</t>
  </si>
  <si>
    <t>Akademia Kaliska im. Prezydenta Stanisława Wojciechowskiego</t>
  </si>
  <si>
    <t>Staropolska Szkoła Wyższa w Kielcach / Old Polish College in Kielce</t>
  </si>
  <si>
    <t>Małopolska Uczelnia Państwowa im. rotmistrza Witolda Pileckiego w Oświęcimiu</t>
  </si>
  <si>
    <t>Economic Humanistic Higher School in Bielsko-Biała / Wyższa Szkoła Ekonomiczno-Humanistyczna w Bielsku-Białej</t>
  </si>
  <si>
    <t>Pedagogium Higher School of Resocialization Pedagogics in Warsaw / PEDAGOGIUM Wyższa Szkoła Nauk Społecznych w Warszawie</t>
  </si>
  <si>
    <t>(3) Warsaw University of Technology Plock/ Politechnika Warszawska Filia w Płocku</t>
  </si>
  <si>
    <t>Higher School of Infrastructure and Management in Warsaw / Wyższa Szkoła Infrastruktury i Zarządzania w Warszawie</t>
  </si>
  <si>
    <t>School of Management and Banking in Poznań / Wyższa Szkoła Zarządzania i Bankowości w Poznaniu</t>
  </si>
  <si>
    <t>Pawel Wlodkowic University College in Plock / Szkoła Wyższa Pawła Włodkowica w Płocku</t>
  </si>
  <si>
    <t>Akademia Nauk Stosowanych w Elblągu</t>
  </si>
  <si>
    <t>Katowice School of Information Technology / Wyższa Szkoła Technologii Informatycznych w Katowicach</t>
  </si>
  <si>
    <t>Pedagogical University J Korczak in Warsaw / Uczelnia Korczaka</t>
  </si>
  <si>
    <t>Higher Teacher Education School of the Polish Teachers’ Union in Warsaw / Wyższa Szkoła Pedagogiczna Związku Nauczycielstwa Polskiego</t>
  </si>
  <si>
    <t>Kujawska University College in Wloclawek / Kujawska Szkoła Wyższa we Włocławku</t>
  </si>
  <si>
    <t>Higher School of Computer Science and Management in Olsztyn / Olsztyńska Wyższa Szkola Informatyki i Zarządzania prof T Kotarbińskiego w Olsztynie</t>
  </si>
  <si>
    <t>Czestochowa University of Management / Wyższa Szkoła Zarządzania w Częstochowie</t>
  </si>
  <si>
    <t>Higher School of Foreign Languages in Warsaw / Lingwistyczna Szkoła Wyższa w Warszawie</t>
  </si>
  <si>
    <t>Higher School of Universal Education / Wszechnica Polska Szkoła Wyższa TWP w Warszawie</t>
  </si>
  <si>
    <t>European School of Law and Administration in Warsaw / Europejska Wyższa Szkoła Prawa i Administracji</t>
  </si>
  <si>
    <t>International School of Business, Design and Technology Jozefa Tyszkiewicza / Bielska Wyższa Szkoła Józefa Tyszkiewicza w Bielsku-Białej</t>
  </si>
  <si>
    <t>Evangelical School of Theology in Wroclaw / Ewangelikalna Wyższa Szkoła Teologiczna we Wrocławiu</t>
  </si>
  <si>
    <t>Karkonoska Akademia Nauk Stosowanych</t>
  </si>
  <si>
    <t>Olsztyn University / Olsztyńska Szkoła Wyższa</t>
  </si>
  <si>
    <t>Gdańska Szkoła Wyższa</t>
  </si>
  <si>
    <t>Higher School of Business in Gorzów Wielkopolski / Wyższa Szkoła Biznesu w Gorzowie Wielkopolskim</t>
  </si>
  <si>
    <t>University of Bydgoszcz / Bydgoska Szkoła Wyższa</t>
  </si>
  <si>
    <t>Higher School of Finance and Management in Siedlce / Collegium Mazovia Innowacyjna Szkoła Wyższa w Siedlcach</t>
  </si>
  <si>
    <t>Higher School of Public and Individual Safety Apeiron in Cracow/ Wyższa Szkoła Bezpieczeństwa Publicznego i Indywidualnego Apeiron w Krakowie</t>
  </si>
  <si>
    <t>Warszawska Uczelnia Medyczna im. Tadeusza Koźluka</t>
  </si>
  <si>
    <t>Poznań School of Social Sciences / Wyższa Szkoła Umiejętności Społecznych w Poznaniu</t>
  </si>
  <si>
    <t>Higher School of Tourism and Hotel Industry in Gdańsk / Wyższa Szkoła Turystyki i Hotelarstwa w Gdańsku</t>
  </si>
  <si>
    <t>College of Communications and Management in Poznań / Wyższa Szkoła Komunikacji i Zarządzania w Poznaniu</t>
  </si>
  <si>
    <t>Higher School of Administration in Bielsko-Biała / Wyższa Szkoła Administracji w Bielsku-Białej</t>
  </si>
  <si>
    <t>Akademia Nauk Stosowanych w Tarnowie</t>
  </si>
  <si>
    <t>University of National Economy in Kutno / Wyższa Szkoła Gospodarki Krajowej w Kutnie</t>
  </si>
  <si>
    <t>European Higher School of Computer Science and Economics in Warsaw / Europejska Wyższa Szkoła Informatyczno Ekonomiczna</t>
  </si>
  <si>
    <t>Francusko Polska Wyższa Szkoła Nowych Technik Informatyczno Komunikacyjnych z siedzibą w Poznaniu</t>
  </si>
  <si>
    <t>Wrocław College of Humanities / Wyższa Szkoła Humanistyczna we Wrocławiu</t>
  </si>
  <si>
    <t>School of Rehabilitation in Warsaw / Wyższa Szkoła Rehabilitacji w Warszawie</t>
  </si>
  <si>
    <t>Polish Open University / Wyższa Szkoła Zarządzania</t>
  </si>
  <si>
    <t>Higher School of Strategic Planning in Dąbrowa Górnicza / Wyższa Szkoła Planowania Strategicznego w Dąbrowie Górniczej</t>
  </si>
  <si>
    <t>Warsaw College of Promotion / Wyższa Szkoła Promocji</t>
  </si>
  <si>
    <t>Wroclaw High School of Applied Informatics Horyzont / Wrocławska Wyższa Szkoła Informatyki Stosowanej we Wrocławiu</t>
  </si>
  <si>
    <t>Warsaw Management School Graduate and Postgraduate School / Warszawska Szkoła Zarządzania Szkoła Wyższa</t>
  </si>
  <si>
    <t>Jan Wyzykowski University / Uczelnia Jana Wyżykowskiego</t>
  </si>
  <si>
    <t>State University of Applied Sciences in Konin</t>
  </si>
  <si>
    <t>State Higher Vocational School in Walcz / Państwowa Wyższa Szkoła Zawodowa w Wałczu</t>
  </si>
  <si>
    <t>Akademia Medycznych i Społecznych Nauk Stosowanych</t>
  </si>
  <si>
    <t>Higher School of Art and Design in Lodz / Wyższa Szkoła Sztuki i Projektowania w Łodzi</t>
  </si>
  <si>
    <t>Bobolanum Pontifical Faculty of Theology / Papieski Wydział Teologiczny w Warszawie</t>
  </si>
  <si>
    <t>Academy of Cosmetics and Health Care / Wyższa Szkoła Zawodowa Kosmetyki i Pielęgnacji Zdrowia w Warszawie</t>
  </si>
  <si>
    <t>Academy of Hotel Management and Catering Industry Poznan / Wyższa Szkoła Hotelarstwa i Gastronomii w Poznaniu</t>
  </si>
  <si>
    <t>College of Management Education in Wroclaw / Wyższa Szkoła Zarządzania Edukacja we Wrocławiu</t>
  </si>
  <si>
    <t>Koszalin State Higher Vocational School / Koszalin Pañstwowa Wyższa Szkoła Zawodowa</t>
  </si>
  <si>
    <t>Lodz Academy of International Studies / Wyższa Szkoła Studiów Międzynarodowych w Łodzi</t>
  </si>
  <si>
    <t>Higher Seminarium Rzeszow / Wyższe Seminarium Duchowne w Rzeszowie</t>
  </si>
  <si>
    <t>Akademia Nauk Stosowanych Angelusa Silesiusa</t>
  </si>
  <si>
    <t>School of Sports Championships Kazimierz Górski in Lodz / Szkoła Mistrzostwa Sportowego Im. Kazimierza Górskiego W Łodzi</t>
  </si>
  <si>
    <t>VIAMODA School in Warsaw / VIAMODA Szkoła Wyższa w Warszawie</t>
  </si>
  <si>
    <t>College of Personnel Management in Warsaw / Wyższa Szkoła Zarządzania Personelem w Warszawie</t>
  </si>
  <si>
    <t>(1) School of Social Sciences in Lublin / Wyższa Szkoła Nauk Społecznych z siedzibą w Lublinie</t>
  </si>
  <si>
    <t>Mazowiecka Public College in Płock / Mazowiecka Uczelnia Publiczna w Płocku</t>
  </si>
  <si>
    <t>Akademia Nauk Stosowanych Wincentego Pola w Lublinie</t>
  </si>
  <si>
    <t>Medical Higher School of Silesia in Katowice / Śląska Wyższa Szkoła Medyczna w Katowicach</t>
  </si>
  <si>
    <t>Akademia Nauk Stosowanych w Nowym Sączu</t>
  </si>
  <si>
    <t>Silesian Higher School of Enterprise in Chorzów / Górnośląska Wyższa Szkoła Przedsiębiorczości K Goduli w Chorzowie</t>
  </si>
  <si>
    <t>Higher Engineering School of Work Safety and Organization in Radom / Wyższa Inżynierska Szkoła Bezpieczeństwa i Organizacji Pracy w Radomiu</t>
  </si>
  <si>
    <t>Swietokrzyska University in Kielce / Wszechnicy Świętokrzyskiej w Kielcach</t>
  </si>
  <si>
    <t>Jan Chrzciciel Pontifical Faculty of Theology in Warsaw / Papieski Wydział Teologiczny w Warszawie im. św. Jana Chrzciciela</t>
  </si>
  <si>
    <t>Academy of Sport Education in Warsaw / Wyższa Szkoła Edukacja w Sporcie</t>
  </si>
  <si>
    <t>Kwidzyn School of Management / Powiślańska Szkoła Wyższa w Kwidzynie</t>
  </si>
  <si>
    <t>Medical College Maria Skłodowska Curie in Warsaw / Uczelnia Medyczna im. Marii Skłodowskiej-Curie w Warszawie</t>
  </si>
  <si>
    <t>Higher School of Public Administration in Kielce / Wyższa Szkoła Administracji Publicznej w Kielcach</t>
  </si>
  <si>
    <t>Medical University of Bialystok / Wyższa Szkoła Medyczna w Białymstoku (Bialystok Institute of Cosmetology and Health Care)</t>
  </si>
  <si>
    <t>Private College of Environmental Protection in Radom / Prywatna Wyższa Szkoła Ochrony Środowiska w Radomiu</t>
  </si>
  <si>
    <t>Higher School of Safety and Security Services in Warsaw / Wyższa Szkoła Bezpieczeństwa i Ochrony Marszałka Józefa Piłsudskiego</t>
  </si>
  <si>
    <t>Humanistic Manager Higher School Milenium in Gniezno / Gnieźnieńska Wyższa Szkoła Humanistyczno-Menedżerska Milenium</t>
  </si>
  <si>
    <t>Academy of Handicraft Applied Sciences in Radom / Akademii Handlowej Nauk Stosowanych w Radomiu</t>
  </si>
  <si>
    <t>Akademia Nauk Stosowanych</t>
  </si>
  <si>
    <t>Akademia Nauk Stosowanych im. Jana Amosa Komeńskiego w Lesznie</t>
  </si>
  <si>
    <t>Akademia Nauk Stosowanych im Hipolita Cegielskiego w Gnieźnie</t>
  </si>
  <si>
    <t>Państwowa Uczelnia im. Stefana Batorego</t>
  </si>
  <si>
    <t>University of Social Sciences Lodz / Uczelnia Nauk Społecznych</t>
  </si>
  <si>
    <t>Akademia Nauk Stosowanych w Raciborzu</t>
  </si>
  <si>
    <t>Social-Economic Higher School in Gdańsk / Wyższa Szkoła Społeczno Ekonomiczna w Gdańsku</t>
  </si>
  <si>
    <t>Rzeszów School of Engineering and Economics / Wyższa Szkoła Inżynieryjno Ekonomiczna z siedzibą w Rzeszowie</t>
  </si>
  <si>
    <t>Higher School of Tourism and Foreign Languages in Warsaw / Wyższa Szkoła Turystyki i Języków Obcych w Warszawie</t>
  </si>
  <si>
    <t>Higher School of Health Sciences in Bydgoszczy / Wyższa Szkoła Nauk o Zdrowiu w Bydgoszczy</t>
  </si>
  <si>
    <t>Higher School of Finance and Banking in Radom / Radomska Szkoła Wyższa</t>
  </si>
  <si>
    <t>Academy of European Integration in Szczecin / Wyższa Szkoła Integracji Europejskiej w Szczecinie</t>
  </si>
  <si>
    <t>Higher School of Social Education / Wyższa Szkoła Oświaty Społecznej</t>
  </si>
  <si>
    <t>Halina Konopacka Higher School of Physical Culture and Tourism in Pruszków / Wyższa Szkoła Kultury Fizycznej i Turystyki H Konopackiej w Pruszkowie</t>
  </si>
  <si>
    <t>Warszawskie Seminarium Teologiczne / Warszawskie Seminarium Teologiczne</t>
  </si>
  <si>
    <t>State Higher Vocational School in Sulechów / Państwowa Wyższa Szkoła Zawodowa w Sulechowie</t>
  </si>
  <si>
    <t>European Career School in Poznań / Wyższa Szkoła Zawodowa Kadry Dla Europy</t>
  </si>
  <si>
    <t>College of Physiotherapy in Wrocław / Wyższa Szkoła Fizjoterapii we Wrocławiu</t>
  </si>
  <si>
    <t>Malopolska School of Economics in Krakow / Małopolska Wyższa Szkoła Zawodowa Józefa Dietla w Krakowie</t>
  </si>
  <si>
    <t>Higher School of Public Administration in Szczecin / Wyższa Szkoła Administracji Publicznej w Szczecinie</t>
  </si>
  <si>
    <t>Higher School of Cosmetology and Health Science in Lodz / Wyższa Szkoła Kosmetyki i Nauk o Zdrowiu w Łodzi</t>
  </si>
  <si>
    <t>Jan Grodek State University in Sanok / Uczelnia Państwowa im. Jana Grodka w Sanoku</t>
  </si>
  <si>
    <t>University of Information Technology and Management Copernicus in Wrocław / Wyższa Szkoła Informatyki i Zarządzania Copernicus</t>
  </si>
  <si>
    <t>Państwowa Wyższa Szkoła Zawodowa w Ciechanowie</t>
  </si>
  <si>
    <t>Michał Belina-Czechowski Higher School of Theology and Humanities in Podkowa Leśna / Wyższa Szkoła Teologiczno-Humanistyczna im. Michała Beliny-Czechowskiego w Podkowie Leśnej</t>
  </si>
  <si>
    <t>Legnica University of Management / Wyższa Szkoła Menedżerska w Legnicy</t>
  </si>
  <si>
    <t>Akademia Nauk Stosowanych im. Księcia Mieszka I w Poznaniu</t>
  </si>
  <si>
    <t>School of Management and Marketing in Sochaczew / Wyższa Szkoła Zarządzania i Marketingu w Sochaczewie</t>
  </si>
  <si>
    <t>Wyższa Szkoła Teologiczno-Społeczna w Warszawie</t>
  </si>
  <si>
    <t>Higher School of Physical Education and Tourism in Bialystok / Wyższa Szkoła Wychowania Fizycznego i Turystyki</t>
  </si>
  <si>
    <t>Rzeszow School of Business / Wyższa Szkoła Zarządzania w Rzeszowie</t>
  </si>
  <si>
    <t>Non State Higher Pedagogical School in Białystok / Niepaństwowa Wyższa Szkoła Pedagogiczna w Białymstoku</t>
  </si>
  <si>
    <t>Higher School of Management in Konin / Wyższa Szkoła Kadr Menedżerskich w Koninie</t>
  </si>
  <si>
    <t>College of Social Communication in Gdynia / Wyższa Szkoła Komunikacji Społecznej w Gdyni</t>
  </si>
  <si>
    <t>Kaszubian-Pomeranian Higher School in Wejherowo / Kaszubsko-Pomorska Szkoła Wyższa w Wejherowie</t>
  </si>
  <si>
    <t>Higher School of International Relations and Social Communication in Chełm / Wyższa Szkoła Stosunków Międzynarodowych i Komunikacji Społecznej w Chełmie</t>
  </si>
  <si>
    <t>Higher School Uni Terra in Poznan / Wyższa Szkoła Uni Terra w Poznaniu</t>
  </si>
  <si>
    <t>Vocational Higher School of Cherishing of Health and Beauty in Poznan / Wyższa Szkoła Zdrowia, Urody i Edukacji w Poznaniu</t>
  </si>
  <si>
    <t>Wyższa Szkoła Komunikowania, Politologii i Stosunków Międzynarodowych w Warszawie</t>
  </si>
  <si>
    <t>University of Computer Engineering and Telecommunications in Kielce / Wyższa Szkoła Technik Komputerowych i Telekomunikacji w Kielcach</t>
  </si>
  <si>
    <t>Państwowa Akademia Nauk Stosowanych w Chełmie</t>
  </si>
  <si>
    <t>Podhalańska Państwowa Wyższa Szkoła Zawodowa w Nowym Targu</t>
  </si>
  <si>
    <t>Higher Artistic School in Warsaw / Wyższa Szkoła Artystyczna</t>
  </si>
  <si>
    <t>Warsaw Baptist Theological Seminar / Wyższe Baptystyczne Seminarium Teologiczne w Warszawie</t>
  </si>
  <si>
    <t>Collegium Masoviense Higher Studies / Collegium Masoviense Wyższe Studia Zawodowe</t>
  </si>
  <si>
    <t>Economics College in Stalowa Wola / Wyższa Szkoła Ekonomiczna w Stalowej Woli</t>
  </si>
  <si>
    <t>Almamer University of Economics in Warsaw / Almamer Wyższa Szkoła Ekonomiczna</t>
  </si>
  <si>
    <t>Higher School of Management and Coaching in Wroclaw / Wyższa Szkoła Zarządzania i Coachingu</t>
  </si>
  <si>
    <t>Higher School of Applied Arts in Szczecin / Wyższa Szkoła Sztuki Użytkowej w Szczecinie</t>
  </si>
  <si>
    <t>Maritime University of Szczecin / Politechnika Morska w Szczecinie</t>
  </si>
  <si>
    <t>Państwowa Uczelnia Zawodowa im. prof. Edwarda F Szczepanika w Suwałkach</t>
  </si>
  <si>
    <t>Higher School of Communication, Political Science and International Relations in Warsaw / Wyższa Szkoła Komunikowania, Politologii i Stosunków Międzynarodowych</t>
  </si>
  <si>
    <t>University of Medical Sciences in Legnica / Wyższa Szkoła Medyczna w Legnicy</t>
  </si>
  <si>
    <t>Higher School Humanistic-Economic in Brzeg / Wyższa Szkoła Humanistyczno Ekonomiczna w Brzegu</t>
  </si>
  <si>
    <t>Kolegium Jagiellońskie Toruńskiej Szkoły Wyższej</t>
  </si>
  <si>
    <t>Higher School of Trade and Commerce in Poznań / Wyższa Szkoła Handlu i Usług w Poznaniu</t>
  </si>
  <si>
    <t>Higher School of Professional Skills in Pinczow / Wyższa Szkoła Umiejętności Zawodowych</t>
  </si>
  <si>
    <t>Akademia Nauk Stosowanych im. Stanisława Staszica w Pile</t>
  </si>
  <si>
    <t>Institute of Aviation Warsaw</t>
  </si>
  <si>
    <t>Uczelnia Społeczno Medyczna w Warszawie</t>
  </si>
  <si>
    <t>Silesian Higher School of Computer Science in Chorzów / Ślaska Wyższa Szkoła Informatyczno-Medyczna</t>
  </si>
  <si>
    <t>Europejska Uczelnia Społeczno Techniczna w Radomiu</t>
  </si>
  <si>
    <t>Tarnowska Szkoła Wyższa (Małopolska Szkoła Wyższa w Brzesku)</t>
  </si>
  <si>
    <t>Niepubliczna Wyższa Szkoła Medyczna we Wrocławiu</t>
  </si>
  <si>
    <t>(1) Koszalin Higher School of Humanistic Sciences / Koszalińska Wyższa Szkoła Nauk Humanistycznych</t>
  </si>
  <si>
    <t>Lublin Higher School in Ryki / Lubelska Szkoła Wyższa w Rykach</t>
  </si>
  <si>
    <t>Wyższa Szkoła Medyczna w Kłodzku</t>
  </si>
  <si>
    <t>Higher School of Management of the Environment in Tuchola / Wyższa Szkoła Zarządzania Środowiskiem w Tucholi</t>
  </si>
  <si>
    <t>Higher School of Public Administration in Ostroleka / Wyższa Szkoła Administracji Publicznej w Ostrołęce</t>
  </si>
  <si>
    <t>Humanistic Economic Higher School in Zamość / Wyższa Szkoła Humanistyczno Ekonomiczna Jana Zamoyskiego w Zamościu</t>
  </si>
  <si>
    <t>General Humanistic Higher School Pomerania in Chojnice / Powszechna Wyższa Szkoła Humanistyczna Pomerania w Chojnicach</t>
  </si>
  <si>
    <t>Higher School of Economics and Management Mielec / Wyższa Szkoła Gospodarki i Zarządzania w Krakowie Wydział Ekonomii w Mielcu</t>
  </si>
  <si>
    <t>Swietokrzyska Higher School in Kielce / Świętokrzyska Szkoła Wyższa w Kielcach</t>
  </si>
  <si>
    <t>College of Tourism and Hotel Industry in Łódź / Wyższa Szkoła Turystyki i Hotelarstwa w Łodzi</t>
  </si>
  <si>
    <t>University of Finance and Computer Science Prof J Chechlińskiego / Wyższa Szkoła Finansów i Informatyki prof J Chechlińskiego</t>
  </si>
  <si>
    <t>School of International Relations and American Studies in Warsaw / Wyższa Szkoła Stosunków Międzynarodowych i Amerykanistyki</t>
  </si>
  <si>
    <t>Higher School of Artistic Crafts and Management in Wroclaw / Szkoła Wyższa we Wrocławiu</t>
  </si>
  <si>
    <t>Wyższa Szkoła Nauk Pedagogicznych</t>
  </si>
  <si>
    <t>Academy of Tourism and Hotel Management in Warsaw / Wyższa Szkoła Organizacji Turystyki i Hotelarstwa w Warszawie</t>
  </si>
  <si>
    <t>Higher School of Pedagogics and Technology in Konin / Wyższa Szkoła Pedagogiczno Techniczna w Koninie</t>
  </si>
  <si>
    <t>Wielkopolska Akademia Społeczno-Ekonomiczna</t>
  </si>
  <si>
    <t>State Higher Vocational School in Tarnobrzeg / Państwowa Wyższa Szkoła Zawodowa prof Stanisława Tarnowskiego w Tarnobrzegu</t>
  </si>
  <si>
    <t>Medical Higher School in Sosnowiec / Wyższa Szkoła Medyczna w Sosnowcu</t>
  </si>
  <si>
    <t>Higher School of Economics and Management in Łódź / Szkoła Wyższa Ekonomii i Zarządzania w Łodzi</t>
  </si>
  <si>
    <t>Academy of Zamość</t>
  </si>
  <si>
    <t>University of Applied Sciences in Ruda Slaska / Wyższa Szkoła Nauk Stosowanych w Rudzie Śląskiej</t>
  </si>
  <si>
    <t>Pomorska Szkoła Wyższa w Starogardzie Gdańskim</t>
  </si>
  <si>
    <t>Łużyce Humanistic Higher School in Żary / Łużycka Szkoła Wyższa</t>
  </si>
  <si>
    <t>Higher School of Podkarpacie in Jaslo / Podkarpacka Szkoła Wyższa bł ks Władysława Findysza w Jaśle</t>
  </si>
  <si>
    <t>Collegium Verum</t>
  </si>
  <si>
    <t>Wyższa Szkoła Demokracji im. ks. Jerzego Popiełuszki w Grudziądzu</t>
  </si>
  <si>
    <t>Higher Seminarium Franciszkanow Lodź / Wyższe Seminarium Duchowne Franciszkanów</t>
  </si>
  <si>
    <t>Wyższa Szkoła Przedsiębiorczości im. Księcia Kazimierza Kujawskiego</t>
  </si>
  <si>
    <t>Humanistic Higher School in Leszno / Wyższa Szkoła Humanistyczna Króla Stanisława Leszczyńskiego w Lesznie</t>
  </si>
  <si>
    <t>Vocational Higher School Oeconomicus PTE in Szczecin / Polskie Towarzystwo Ekonomiczne</t>
  </si>
  <si>
    <t>WSM Warsaw Faculty of Management in Ciechanów / Wyższa Szkoła Menedżerska w Warszawie Wydział Zarządzania w Ciechanowie</t>
  </si>
  <si>
    <t>Higher Medical School of Podkowa Lesna / Podkowiańskiej Wyższej Szkoły Medycznej</t>
  </si>
  <si>
    <t>Wyższa Szkoła Inżynierii Gospodarki w Słupsku</t>
  </si>
  <si>
    <t>Federacja Uczelni Aglomeracji Warszawskiej</t>
  </si>
  <si>
    <t>College School of Economics and Arts in Skierniewice / Wyższa Szkoła Ekonomiczno-Humanistyczna w Skierniewicach</t>
  </si>
  <si>
    <t>Community Vocational Higher School in Kamień Mały / Wyższa Szkoła Zawodowa w Kostrzynie nad Odrą</t>
  </si>
  <si>
    <t>Higher School of Cosmetology and Health Promotion in Szczecin / Wyższa Szkoła Kosmetologii i Promocji Zdrowia w Szczecinie</t>
  </si>
  <si>
    <t>Studium Generale Sandomiriense Higher School Humanistic-Natural in Sandomierz / Wyższa Szkoła Humanistyczno Przyrodnicza Studium Generale Sandomiriense w Sandomierzu</t>
  </si>
  <si>
    <t>Vocational Higher School of Educational Corporation in Lodz / Wyższa Szkoła Zawodowa Łódzkiej Korporacji Oświatowej w Łodzi</t>
  </si>
  <si>
    <t>Higher School of Social and Economic Przeworsk / Wyższa Szkoła Społeczno-Gospodarcza w Przeworsku</t>
  </si>
  <si>
    <t>Higher School of Dentist Engineering in Ustroń / Wyższa Szkoła Inżynierii Dentystycznej i Nauk Humanistycznych prof Meissnera w Ustroniu</t>
  </si>
  <si>
    <t>West Higher School of Commerce and International Finances in Zielona Góra / Zachodnia Wyższa Szkoła Handlu i Finansów Międzynarodowych w Zielonej Górze</t>
  </si>
  <si>
    <t>Menedżerska Akademia Nauk Stosowanych w Warszawie</t>
  </si>
  <si>
    <t>Wincenty Kadłubek Theological Institute in Sandomierz / Instytut Teologiczny im. Bł. Wincentego Kadłubka w Sandomierzu</t>
  </si>
  <si>
    <t>Wyższa Szkoła Zawodowa Ochrony Zdrowia TWP w Łomży z siedzibą w Łomży</t>
  </si>
  <si>
    <t>Nadbużańska Szkoła Wyższa im. Marka J. Karpia w Siemiatyczach</t>
  </si>
  <si>
    <t>Międzynarodowa Akademia Nauk Stosowanych w Łomży</t>
  </si>
  <si>
    <t>European University of Information Technology and Economics in Warsaw / European University of Information Technology and Economics in Warsaw</t>
  </si>
  <si>
    <t>Państwowa Akademia Nauk Stosowanych we Włocławku</t>
  </si>
  <si>
    <t>Higher School of Business and Management in Ciechanów / Wyższa Szkoła Biznesu i Zarządzania</t>
  </si>
  <si>
    <t>WorldRankValue_Webometrics2023H1</t>
  </si>
  <si>
    <t>Nazwa uczelni technicznej</t>
  </si>
  <si>
    <t>dubel</t>
  </si>
  <si>
    <t>CountryWebometrics2023H1</t>
  </si>
  <si>
    <t>porównajWebometrics</t>
  </si>
  <si>
    <t>Korelacja Pozycja Perspektywy 2022 vs WskaźnikOcenyPunktowej</t>
  </si>
  <si>
    <t>Korelacja Pozycja Perspektywy 2022 vs Pozycja Webometrics World 2023H1</t>
  </si>
  <si>
    <t>Korelacja Pozycja Perspektywy 2022 vs Pozycja Webometrics Country 2023H1</t>
  </si>
  <si>
    <t>Korelacja WskaźnikOcenyPunktowej vs Pozycja Webometrics World 2023H1</t>
  </si>
  <si>
    <t>Korelacja WskaźnikOcenyPunktowej vs Pozycja Webometrics Country 2023H1</t>
  </si>
  <si>
    <t>Korelacja Pozycja Webometrics Country 2023H1 vs Prestiż</t>
  </si>
  <si>
    <t>Korelacja Pozycja Webometrics Country 2023H1 vs Prestiż - Ocena prez kadrę</t>
  </si>
  <si>
    <t>Korelacja Pozycja Webometrics World 2023H1 vs Prestiż</t>
  </si>
  <si>
    <t>Korelacja Pozycja Webometrics Country 2023H1 vs ELA</t>
  </si>
  <si>
    <t>Korelacja Pozycja Webometrics Country 2023H1 vs Potencjał naukowy</t>
  </si>
  <si>
    <t>Korelacja Pozycja Webometrics Country 2023H1 vs Potencjał naukowy - Ocena parametr.</t>
  </si>
  <si>
    <t>Korelacja Pozycja Webometrics Country 2023H1 vs Innowacyjność</t>
  </si>
  <si>
    <t>Korelacja Pozycja Webometrics Country 2023H1 vs Efektywność naukowa</t>
  </si>
  <si>
    <t>Korelacja Pozycja Webometrics Country 2023H1 vs Publikacje naukowe</t>
  </si>
  <si>
    <t>Korelacja Pozycja Webometrics Country 2023H1 vs Warunki kształcenia</t>
  </si>
  <si>
    <t>Korelacja Pozycja Webometrics Country 2023H1 vs Umiędzynarodowienie</t>
  </si>
  <si>
    <t>Korelacja Pozycja Perspektywy 2022 vs IWRA_1R</t>
  </si>
  <si>
    <t>Korelacja Pozycja Perspektywy 2022 vs IWRA_3R</t>
  </si>
  <si>
    <t>Korelacja Pozycja Webometrics World 2023H1 vs IWRA_3R</t>
  </si>
  <si>
    <t>Korelacja Pozycja Webometrics World 2023H1 vs IWRA_1R</t>
  </si>
  <si>
    <t>Korelacja Pozycja Webometrics Country 2023H1 vs IWRA_3R</t>
  </si>
  <si>
    <t>Korelacja Pozycja Webometrics Country 2023H1 vs IWRA_1R</t>
  </si>
  <si>
    <t>Korelacja WskaźnikOcenyPunktowej vs IWRA_3R</t>
  </si>
  <si>
    <t>Korelacja WskaźnikOcenyPunktowej vs IWRA_1R</t>
  </si>
  <si>
    <t>Korelacja Pozycja Perspektywy 2022 vs Zatrudnienie_1R</t>
  </si>
  <si>
    <t>Korelacja Pozycja Perspektywy 2022 vs Zatrudnienie_3R</t>
  </si>
  <si>
    <t>Korelacja Pozycja Perspektywy 2022 vs Zarobki_1R</t>
  </si>
  <si>
    <t>Korelacja Pozycja Perspektywy 2022 vs Zarobki_3R</t>
  </si>
  <si>
    <t>Korelacja Pozycja Perspektywy 2022 vs WWZ_1R</t>
  </si>
  <si>
    <t>Korelacja Pozycja Perspektywy 2022 vs WWZ_3R</t>
  </si>
  <si>
    <t>Korelacja Pozycja Webometrics World 2023H1 vs Zatrudnienie_1R</t>
  </si>
  <si>
    <t>Korelacja Pozycja Webometrics World 2023H1 vs Zatrudnienie_3R</t>
  </si>
  <si>
    <t>Korelacja Pozycja Webometrics World 2023H1 vs Zarobki_1R</t>
  </si>
  <si>
    <t>Korelacja Pozycja Webometrics World 2023H1 vs Zarobki_3R</t>
  </si>
  <si>
    <t>Korelacja Pozycja Webometrics World 2023H1 vs WWZ_1R</t>
  </si>
  <si>
    <t>Korelacja Pozycja Webometrics World 2023H1 vs WWZ_3R</t>
  </si>
  <si>
    <t>Korelacja Pozycja Webometrics Country 2023H1 vs Zatrudnienie_1R</t>
  </si>
  <si>
    <t>Korelacja Pozycja Webometrics Country 2023H1 vs Zatrudnienie_3R</t>
  </si>
  <si>
    <t>Korelacja Pozycja Webometrics Country 2023H1 vs Zarobki_1R</t>
  </si>
  <si>
    <t>Korelacja Pozycja Webometrics Country 2023H1 vs Zarobki_3R</t>
  </si>
  <si>
    <t>Korelacja Pozycja Webometrics Country 2023H1 vs WWZ_1R</t>
  </si>
  <si>
    <t>Korelacja Pozycja Webometrics Country 2023H1 vs WWZ_3R</t>
  </si>
  <si>
    <t>Korelacja WskaźnikOcenyPunktowej vs Zatrudnienie_1R</t>
  </si>
  <si>
    <t>Korelacja WskaźnikOcenyPunktowej vs Zatrudnienie_3R</t>
  </si>
  <si>
    <t>Korelacja WskaźnikOcenyPunktowej vs Zarobki_1R</t>
  </si>
  <si>
    <t>Korelacja WskaźnikOcenyPunktowej vs Zarobki_3R</t>
  </si>
  <si>
    <t>Korelacja WskaźnikOcenyPunktowej vs WWZ_1R</t>
  </si>
  <si>
    <t>Korelacja WskaźnikOcenyPunktowej vs WWZ_3R</t>
  </si>
  <si>
    <t>Korelacja Pozycja Perspektywy 2022 vs Prestiż (12%)</t>
  </si>
  <si>
    <t>Korelacja Pozycja Perspektywy 2022 vs ELA (15%)</t>
  </si>
  <si>
    <t>Korelacja Pozycja Perspektywy 2022 vs Potencjał naukowy (15%)</t>
  </si>
  <si>
    <t>Korelacja Pozycja Perspektywy 2022 vs Potencjał naukowy - Ocena parametr. (10%)</t>
  </si>
  <si>
    <t>Korelacja Pozycja Perspektywy 2022 vs Innowacyjność (8%)</t>
  </si>
  <si>
    <t>Korelacja Pozycja Perspektywy 2022 vs Efektywność naukowa (28%)</t>
  </si>
  <si>
    <t>Korelacja Pozycja Perspektywy 2022 vs Publikacje naukowe (15%)</t>
  </si>
  <si>
    <t>Korelacja Pozycja Perspektywy 2022 vs Warunki kształcenia (10%)</t>
  </si>
  <si>
    <t>Korelacja Pozycja Perspektywy 2022 vs Umiędzynarodowienie (15%)</t>
  </si>
  <si>
    <t>Korelacja WskaźnikOcenyPunktowej vs Prestiż (12%)</t>
  </si>
  <si>
    <t>Korelacja WskaźnikOcenyPunktowej vs ELA (15%)</t>
  </si>
  <si>
    <t>Korelacja WskaźnikOcenyPunktowej vs Potencjał naukowy - Ocena parametr. (10%)</t>
  </si>
  <si>
    <t>Korelacja WskaźnikOcenyPunktowej vs Potencjał naukowy (15%)</t>
  </si>
  <si>
    <t>Korelacja WskaźnikOcenyPunktowej vs Innowacyjność (8%)</t>
  </si>
  <si>
    <t>Korelacja WskaźnikOcenyPunktowej vs Efektywność naukowa (28%)</t>
  </si>
  <si>
    <t>Korelacja WskaźnikOcenyPunktowej vs Publikacje naukowe (15%)</t>
  </si>
  <si>
    <t>Korelacja WskaźnikOcenyPunktowej vs Warunki kształcenia (10%)</t>
  </si>
  <si>
    <t>Korelacja WskaźnikOcenyPunktowej vs Umiędzynarodowienie (15%)</t>
  </si>
  <si>
    <t>Korelacja IWRA_3R vs Prestiż (12%)</t>
  </si>
  <si>
    <t>Korelacja IWRA_1R vs Prestiż (12%)</t>
  </si>
  <si>
    <t>Korelacja IWRA_1R vs ELA (15%)</t>
  </si>
  <si>
    <t>Korelacja IWRA_1R vs Potencjał naukowy (15%)</t>
  </si>
  <si>
    <t>Korelacja IWRA_1R vs Potencjał naukowy - Ocena parametr. (10%)</t>
  </si>
  <si>
    <t>Korelacja IWRA_1R vs Innowacyjność (8%)</t>
  </si>
  <si>
    <t>Korelacja IWRA_1R vs Efektywność naukowa (28%)</t>
  </si>
  <si>
    <t>Korelacja IWRA_1R vs Publikacje naukowe (15%)</t>
  </si>
  <si>
    <t>Korelacja IWRA_1R vs Warunki kształcenia (10%)</t>
  </si>
  <si>
    <t>Korelacja IWRA_1R vs Umiędzynarodowienie (15%)</t>
  </si>
  <si>
    <t>Korelacja IWRA_3R vs ELA (15%)</t>
  </si>
  <si>
    <t>Korelacja IWRA_3R vs Potencjał naukowy (15%)</t>
  </si>
  <si>
    <t>Korelacja IWRA_3R vs Potencjał naukowy - Ocena parametr. (10%)</t>
  </si>
  <si>
    <t>Korelacja IWRA_3R vs Innowacyjność (8%)</t>
  </si>
  <si>
    <t>Korelacja IWRA_3R vs Efektywność naukowa (28%)</t>
  </si>
  <si>
    <t>Korelacja IWRA_3R vs Publikacje naukowe (15%)</t>
  </si>
  <si>
    <t>Korelacja IWRA_3R vs Warunki kształcenia (10%)</t>
  </si>
  <si>
    <t>Korelacja IWRA_3R vs Umiędzynarodowienie (15%)</t>
  </si>
  <si>
    <t>Korelacja Pozycja Perspektywy 2022 vs Prestiż - Ocena przez kadrę (10%)</t>
  </si>
  <si>
    <t>Korelacja WskaźnikOcenyPunktowej vs Prestiż - Ocena przez kadrę (10%)</t>
  </si>
  <si>
    <t>Korelacja IWRA_1R vs Prestiż - Ocena przez kadrę (10%)</t>
  </si>
  <si>
    <t>Korelacja IWRA_3R vs Prestiż - Ocena przez kadrę (10%)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</si>
</sst>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000"/>
    <numFmt numFmtId="165" formatCode="0.0%"/>
    <numFmt numFmtId="166" formatCode="0.0000"/>
    <numFmt numFmtId="167" formatCode="_-* #,##0.00\ [$zł-415]_-;\-* #,##0.00\ [$zł-415]_-;_-* &quot;-&quot;??\ [$zł-415]_-;_-@_-"/>
  </numFmts>
  <fonts count="1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scheme val="minor"/>
    </font>
    <font>
      <u/>
      <sz val="11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  <font>
      <i/>
      <sz val="11"/>
      <color theme="1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b/>
      <u/>
      <sz val="11"/>
      <color rgb="FFFF0000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charset val="238"/>
      <scheme val="minor"/>
    </font>
    <font>
      <sz val="8"/>
      <name val="Calibri"/>
      <family val="2"/>
      <scheme val="minor"/>
    </font>
    <font>
      <b/>
      <sz val="11"/>
      <color rgb="FFC00000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2">
    <xf numFmtId="0" fontId="0" fillId="0" borderId="0"/>
    <xf numFmtId="9" fontId="9" fillId="0" borderId="0" applyFont="0" applyFill="0" applyBorder="0" applyAlignment="0" applyProtection="0"/>
  </cellStyleXfs>
  <cellXfs count="63">
    <xf numFmtId="0" fontId="0" fillId="0" borderId="0" xfId="0"/>
    <xf numFmtId="0" fontId="0" fillId="3" borderId="1" xfId="0" applyFill="1" applyBorder="1"/>
    <xf numFmtId="0" fontId="0" fillId="0" borderId="1" xfId="0" applyBorder="1"/>
    <xf numFmtId="14" fontId="0" fillId="0" borderId="0" xfId="0" applyNumberFormat="1"/>
    <xf numFmtId="16" fontId="0" fillId="0" borderId="0" xfId="0" applyNumberFormat="1"/>
    <xf numFmtId="0" fontId="0" fillId="0" borderId="0" xfId="0" applyAlignment="1">
      <alignment horizontal="left"/>
    </xf>
    <xf numFmtId="164" fontId="0" fillId="0" borderId="0" xfId="0" applyNumberFormat="1"/>
    <xf numFmtId="0" fontId="1" fillId="2" borderId="2" xfId="0" applyFont="1" applyFill="1" applyBorder="1"/>
    <xf numFmtId="0" fontId="0" fillId="3" borderId="3" xfId="0" applyFill="1" applyBorder="1"/>
    <xf numFmtId="0" fontId="1" fillId="0" borderId="2" xfId="0" applyFont="1" applyBorder="1"/>
    <xf numFmtId="0" fontId="0" fillId="0" borderId="2" xfId="0" applyBorder="1"/>
    <xf numFmtId="0" fontId="0" fillId="0" borderId="3" xfId="0" applyBorder="1"/>
    <xf numFmtId="0" fontId="3" fillId="0" borderId="0" xfId="0" applyFont="1"/>
    <xf numFmtId="0" fontId="4" fillId="0" borderId="0" xfId="0" applyFont="1"/>
    <xf numFmtId="0" fontId="5" fillId="0" borderId="0" xfId="0" applyFont="1"/>
    <xf numFmtId="0" fontId="2" fillId="4" borderId="0" xfId="0" applyFont="1" applyFill="1"/>
    <xf numFmtId="0" fontId="0" fillId="0" borderId="0" xfId="0" applyAlignment="1">
      <alignment wrapText="1"/>
    </xf>
    <xf numFmtId="164" fontId="3" fillId="0" borderId="0" xfId="0" applyNumberFormat="1" applyFont="1"/>
    <xf numFmtId="0" fontId="7" fillId="0" borderId="0" xfId="0" applyFont="1"/>
    <xf numFmtId="0" fontId="8" fillId="0" borderId="0" xfId="0" applyFont="1"/>
    <xf numFmtId="0" fontId="0" fillId="0" borderId="0" xfId="0" applyAlignment="1">
      <alignment horizontal="center" vertical="center" wrapText="1"/>
    </xf>
    <xf numFmtId="0" fontId="0" fillId="4" borderId="0" xfId="0" applyFill="1" applyAlignment="1">
      <alignment wrapText="1"/>
    </xf>
    <xf numFmtId="0" fontId="0" fillId="0" borderId="0" xfId="0" pivotButton="1" applyAlignment="1">
      <alignment wrapText="1"/>
    </xf>
    <xf numFmtId="0" fontId="2" fillId="0" borderId="4" xfId="0" applyFont="1" applyBorder="1" applyAlignment="1">
      <alignment horizontal="center" vertical="center" wrapText="1"/>
    </xf>
    <xf numFmtId="0" fontId="0" fillId="0" borderId="4" xfId="0" applyBorder="1"/>
    <xf numFmtId="165" fontId="0" fillId="0" borderId="0" xfId="1" applyNumberFormat="1" applyFont="1"/>
    <xf numFmtId="166" fontId="0" fillId="0" borderId="0" xfId="0" applyNumberFormat="1"/>
    <xf numFmtId="166" fontId="6" fillId="0" borderId="0" xfId="0" applyNumberFormat="1" applyFont="1"/>
    <xf numFmtId="0" fontId="0" fillId="0" borderId="6" xfId="0" applyBorder="1"/>
    <xf numFmtId="0" fontId="1" fillId="2" borderId="6" xfId="0" applyFont="1" applyFill="1" applyBorder="1"/>
    <xf numFmtId="0" fontId="1" fillId="2" borderId="1" xfId="0" applyFont="1" applyFill="1" applyBorder="1"/>
    <xf numFmtId="0" fontId="1" fillId="2" borderId="5" xfId="0" applyFont="1" applyFill="1" applyBorder="1"/>
    <xf numFmtId="9" fontId="0" fillId="0" borderId="0" xfId="0" applyNumberFormat="1"/>
    <xf numFmtId="9" fontId="0" fillId="0" borderId="0" xfId="1" applyFont="1"/>
    <xf numFmtId="0" fontId="2" fillId="0" borderId="0" xfId="0" applyFont="1"/>
    <xf numFmtId="0" fontId="0" fillId="6" borderId="0" xfId="0" applyFill="1" applyAlignment="1">
      <alignment wrapText="1"/>
    </xf>
    <xf numFmtId="0" fontId="0" fillId="7" borderId="0" xfId="0" applyFill="1" applyAlignment="1">
      <alignment wrapText="1"/>
    </xf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0" fontId="12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13" fillId="0" borderId="0" xfId="0" applyFont="1" applyAlignment="1">
      <alignment vertical="center"/>
    </xf>
    <xf numFmtId="0" fontId="10" fillId="2" borderId="7" xfId="0" applyFont="1" applyFill="1" applyBorder="1"/>
    <xf numFmtId="0" fontId="10" fillId="2" borderId="3" xfId="0" applyFont="1" applyFill="1" applyBorder="1"/>
    <xf numFmtId="0" fontId="10" fillId="2" borderId="3" xfId="0" applyFont="1" applyFill="1" applyBorder="1" applyAlignment="1">
      <alignment wrapText="1"/>
    </xf>
    <xf numFmtId="0" fontId="10" fillId="2" borderId="8" xfId="0" applyFont="1" applyFill="1" applyBorder="1" applyAlignment="1">
      <alignment wrapText="1"/>
    </xf>
    <xf numFmtId="0" fontId="0" fillId="3" borderId="7" xfId="0" applyFill="1" applyBorder="1"/>
    <xf numFmtId="0" fontId="0" fillId="3" borderId="3" xfId="0" applyFill="1" applyBorder="1" applyAlignment="1">
      <alignment horizontal="right" indent="1"/>
    </xf>
    <xf numFmtId="0" fontId="0" fillId="0" borderId="7" xfId="0" applyBorder="1"/>
    <xf numFmtId="0" fontId="0" fillId="0" borderId="3" xfId="0" applyBorder="1" applyAlignment="1">
      <alignment horizontal="right" indent="1"/>
    </xf>
    <xf numFmtId="0" fontId="0" fillId="0" borderId="1" xfId="0" applyBorder="1" applyAlignment="1">
      <alignment horizontal="right" indent="1"/>
    </xf>
    <xf numFmtId="0" fontId="1" fillId="2" borderId="1" xfId="0" applyFont="1" applyFill="1" applyBorder="1" applyAlignment="1">
      <alignment wrapText="1"/>
    </xf>
    <xf numFmtId="167" fontId="0" fillId="0" borderId="3" xfId="0" applyNumberFormat="1" applyBorder="1"/>
    <xf numFmtId="2" fontId="0" fillId="0" borderId="3" xfId="0" applyNumberFormat="1" applyBorder="1"/>
    <xf numFmtId="0" fontId="0" fillId="0" borderId="8" xfId="0" applyBorder="1"/>
    <xf numFmtId="0" fontId="0" fillId="0" borderId="5" xfId="0" applyBorder="1"/>
    <xf numFmtId="167" fontId="0" fillId="0" borderId="1" xfId="0" applyNumberFormat="1" applyBorder="1"/>
    <xf numFmtId="2" fontId="0" fillId="0" borderId="1" xfId="0" applyNumberFormat="1" applyBorder="1"/>
    <xf numFmtId="166" fontId="2" fillId="0" borderId="0" xfId="0" applyNumberFormat="1" applyFont="1" applyAlignment="1">
      <alignment vertical="center"/>
    </xf>
    <xf numFmtId="0" fontId="0" fillId="0" borderId="0" xfId="0" applyAlignment="1">
      <alignment vertical="center" wrapText="1"/>
    </xf>
    <xf numFmtId="166" fontId="0" fillId="0" borderId="0" xfId="0" applyNumberFormat="1" applyAlignment="1">
      <alignment vertical="center"/>
    </xf>
    <xf numFmtId="166" fontId="2" fillId="8" borderId="0" xfId="0" applyNumberFormat="1" applyFont="1" applyFill="1" applyAlignment="1">
      <alignment vertical="center"/>
    </xf>
    <xf numFmtId="166" fontId="2" fillId="5" borderId="0" xfId="0" applyNumberFormat="1" applyFont="1" applyFill="1" applyAlignment="1">
      <alignment vertical="center"/>
    </xf>
  </cellXfs>
  <cellStyles count="2">
    <cellStyle name="Normalny" xfId="0" builtinId="0"/>
    <cellStyle name="Procentowy" xfId="1" builtinId="5"/>
  </cellStyles>
  <dxfs count="27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-* #,##0.00\ [$zł-415]_-;\-* #,##0.00\ [$zł-415]_-;_-* &quot;-&quot;??\ [$zł-415]_-;_-@_-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-* #,##0.00\ [$zł-415]_-;\-* #,##0.00\ [$zł-415]_-;_-* &quot;-&quot;??\ [$zł-415]_-;_-@_-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-* #,##0.00\ [$zł-415]_-;\-* #,##0.00\ [$zł-415]_-;_-* &quot;-&quot;??\ [$zł-415]_-;_-@_-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1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4" tint="0.39997558519241921"/>
        </left>
        <right/>
        <top style="thin">
          <color theme="4" tint="0.39997558519241921"/>
        </top>
        <bottom/>
        <vertical/>
        <horizontal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wrapText="1"/>
    </dxf>
    <dxf>
      <alignment wrapText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Analizy_do_RV!$AA$214</c:f>
              <c:strCache>
                <c:ptCount val="1"/>
                <c:pt idx="0">
                  <c:v>ARWU_RV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Analizy_do_RV!$Z$215:$Z$285</c:f>
              <c:numCache>
                <c:formatCode>General</c:formatCode>
                <c:ptCount val="71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1</c:v>
                </c:pt>
                <c:pt idx="4">
                  <c:v>3</c:v>
                </c:pt>
                <c:pt idx="5">
                  <c:v>8</c:v>
                </c:pt>
                <c:pt idx="6">
                  <c:v>11</c:v>
                </c:pt>
                <c:pt idx="7">
                  <c:v>9</c:v>
                </c:pt>
                <c:pt idx="8">
                  <c:v>14</c:v>
                </c:pt>
                <c:pt idx="9">
                  <c:v>7</c:v>
                </c:pt>
                <c:pt idx="10">
                  <c:v>20</c:v>
                </c:pt>
                <c:pt idx="11">
                  <c:v>13</c:v>
                </c:pt>
                <c:pt idx="12">
                  <c:v>15</c:v>
                </c:pt>
                <c:pt idx="13">
                  <c:v>22</c:v>
                </c:pt>
                <c:pt idx="14">
                  <c:v>11</c:v>
                </c:pt>
                <c:pt idx="15">
                  <c:v>10</c:v>
                </c:pt>
                <c:pt idx="16">
                  <c:v>6</c:v>
                </c:pt>
                <c:pt idx="17">
                  <c:v>16</c:v>
                </c:pt>
                <c:pt idx="18">
                  <c:v>23</c:v>
                </c:pt>
                <c:pt idx="19">
                  <c:v>18</c:v>
                </c:pt>
                <c:pt idx="20">
                  <c:v>21</c:v>
                </c:pt>
                <c:pt idx="21">
                  <c:v>17</c:v>
                </c:pt>
                <c:pt idx="22">
                  <c:v>26</c:v>
                </c:pt>
                <c:pt idx="23">
                  <c:v>24</c:v>
                </c:pt>
                <c:pt idx="24">
                  <c:v>32</c:v>
                </c:pt>
                <c:pt idx="25">
                  <c:v>29</c:v>
                </c:pt>
                <c:pt idx="26">
                  <c:v>25</c:v>
                </c:pt>
                <c:pt idx="27">
                  <c:v>26</c:v>
                </c:pt>
                <c:pt idx="28">
                  <c:v>34</c:v>
                </c:pt>
                <c:pt idx="29">
                  <c:v>19</c:v>
                </c:pt>
                <c:pt idx="30">
                  <c:v>39</c:v>
                </c:pt>
                <c:pt idx="31">
                  <c:v>40</c:v>
                </c:pt>
                <c:pt idx="32">
                  <c:v>54</c:v>
                </c:pt>
                <c:pt idx="33">
                  <c:v>50</c:v>
                </c:pt>
                <c:pt idx="34">
                  <c:v>35</c:v>
                </c:pt>
                <c:pt idx="35">
                  <c:v>53</c:v>
                </c:pt>
                <c:pt idx="36">
                  <c:v>54</c:v>
                </c:pt>
                <c:pt idx="37">
                  <c:v>46</c:v>
                </c:pt>
                <c:pt idx="38">
                  <c:v>67</c:v>
                </c:pt>
                <c:pt idx="39">
                  <c:v>48</c:v>
                </c:pt>
                <c:pt idx="40">
                  <c:v>81</c:v>
                </c:pt>
                <c:pt idx="41">
                  <c:v>52</c:v>
                </c:pt>
                <c:pt idx="42">
                  <c:v>71</c:v>
                </c:pt>
                <c:pt idx="43">
                  <c:v>31</c:v>
                </c:pt>
                <c:pt idx="44">
                  <c:v>36</c:v>
                </c:pt>
                <c:pt idx="45">
                  <c:v>44</c:v>
                </c:pt>
                <c:pt idx="46">
                  <c:v>62</c:v>
                </c:pt>
                <c:pt idx="47">
                  <c:v>56</c:v>
                </c:pt>
                <c:pt idx="48">
                  <c:v>61</c:v>
                </c:pt>
                <c:pt idx="49">
                  <c:v>82</c:v>
                </c:pt>
                <c:pt idx="50">
                  <c:v>74</c:v>
                </c:pt>
                <c:pt idx="51">
                  <c:v>47</c:v>
                </c:pt>
                <c:pt idx="52">
                  <c:v>57</c:v>
                </c:pt>
                <c:pt idx="53">
                  <c:v>69</c:v>
                </c:pt>
                <c:pt idx="54">
                  <c:v>30</c:v>
                </c:pt>
                <c:pt idx="55">
                  <c:v>68</c:v>
                </c:pt>
                <c:pt idx="56">
                  <c:v>65</c:v>
                </c:pt>
                <c:pt idx="57">
                  <c:v>51</c:v>
                </c:pt>
                <c:pt idx="58">
                  <c:v>93</c:v>
                </c:pt>
                <c:pt idx="59">
                  <c:v>66</c:v>
                </c:pt>
                <c:pt idx="60">
                  <c:v>90</c:v>
                </c:pt>
                <c:pt idx="61">
                  <c:v>95</c:v>
                </c:pt>
                <c:pt idx="62">
                  <c:v>64</c:v>
                </c:pt>
                <c:pt idx="63">
                  <c:v>42</c:v>
                </c:pt>
                <c:pt idx="64">
                  <c:v>76</c:v>
                </c:pt>
                <c:pt idx="65">
                  <c:v>98</c:v>
                </c:pt>
                <c:pt idx="66">
                  <c:v>75</c:v>
                </c:pt>
                <c:pt idx="67">
                  <c:v>49</c:v>
                </c:pt>
                <c:pt idx="68">
                  <c:v>89</c:v>
                </c:pt>
                <c:pt idx="69">
                  <c:v>80</c:v>
                </c:pt>
                <c:pt idx="70">
                  <c:v>85</c:v>
                </c:pt>
              </c:numCache>
            </c:numRef>
          </c:xVal>
          <c:yVal>
            <c:numRef>
              <c:f>Analizy_do_RV!$AA$215:$AA$285</c:f>
              <c:numCache>
                <c:formatCode>General</c:formatCode>
                <c:ptCount val="7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7</c:v>
                </c:pt>
                <c:pt idx="4">
                  <c:v>4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15</c:v>
                </c:pt>
                <c:pt idx="9">
                  <c:v>6</c:v>
                </c:pt>
                <c:pt idx="10">
                  <c:v>12</c:v>
                </c:pt>
                <c:pt idx="11">
                  <c:v>10</c:v>
                </c:pt>
                <c:pt idx="12">
                  <c:v>14</c:v>
                </c:pt>
                <c:pt idx="13">
                  <c:v>18</c:v>
                </c:pt>
                <c:pt idx="14">
                  <c:v>20</c:v>
                </c:pt>
                <c:pt idx="15">
                  <c:v>23</c:v>
                </c:pt>
                <c:pt idx="16">
                  <c:v>9</c:v>
                </c:pt>
                <c:pt idx="17">
                  <c:v>26</c:v>
                </c:pt>
                <c:pt idx="18">
                  <c:v>28</c:v>
                </c:pt>
                <c:pt idx="19">
                  <c:v>22</c:v>
                </c:pt>
                <c:pt idx="20">
                  <c:v>13</c:v>
                </c:pt>
                <c:pt idx="21">
                  <c:v>34</c:v>
                </c:pt>
                <c:pt idx="22">
                  <c:v>30</c:v>
                </c:pt>
                <c:pt idx="23">
                  <c:v>25</c:v>
                </c:pt>
                <c:pt idx="24">
                  <c:v>21</c:v>
                </c:pt>
                <c:pt idx="25">
                  <c:v>35</c:v>
                </c:pt>
                <c:pt idx="26">
                  <c:v>31</c:v>
                </c:pt>
                <c:pt idx="27">
                  <c:v>17</c:v>
                </c:pt>
                <c:pt idx="28">
                  <c:v>32</c:v>
                </c:pt>
                <c:pt idx="29">
                  <c:v>71</c:v>
                </c:pt>
                <c:pt idx="30">
                  <c:v>24</c:v>
                </c:pt>
                <c:pt idx="31">
                  <c:v>44</c:v>
                </c:pt>
                <c:pt idx="32">
                  <c:v>38</c:v>
                </c:pt>
                <c:pt idx="33">
                  <c:v>37</c:v>
                </c:pt>
                <c:pt idx="34">
                  <c:v>48</c:v>
                </c:pt>
                <c:pt idx="35">
                  <c:v>47</c:v>
                </c:pt>
                <c:pt idx="36">
                  <c:v>60</c:v>
                </c:pt>
                <c:pt idx="37">
                  <c:v>73</c:v>
                </c:pt>
                <c:pt idx="38">
                  <c:v>36</c:v>
                </c:pt>
                <c:pt idx="39">
                  <c:v>49</c:v>
                </c:pt>
                <c:pt idx="40">
                  <c:v>33</c:v>
                </c:pt>
                <c:pt idx="41">
                  <c:v>54</c:v>
                </c:pt>
                <c:pt idx="42">
                  <c:v>64</c:v>
                </c:pt>
                <c:pt idx="43">
                  <c:v>96</c:v>
                </c:pt>
                <c:pt idx="44">
                  <c:v>88</c:v>
                </c:pt>
                <c:pt idx="45">
                  <c:v>75</c:v>
                </c:pt>
                <c:pt idx="46">
                  <c:v>79</c:v>
                </c:pt>
                <c:pt idx="47">
                  <c:v>98</c:v>
                </c:pt>
                <c:pt idx="48">
                  <c:v>99</c:v>
                </c:pt>
                <c:pt idx="49">
                  <c:v>59</c:v>
                </c:pt>
                <c:pt idx="50">
                  <c:v>62</c:v>
                </c:pt>
                <c:pt idx="51">
                  <c:v>40</c:v>
                </c:pt>
                <c:pt idx="52">
                  <c:v>27</c:v>
                </c:pt>
                <c:pt idx="53">
                  <c:v>29</c:v>
                </c:pt>
                <c:pt idx="54">
                  <c:v>56</c:v>
                </c:pt>
                <c:pt idx="55">
                  <c:v>41</c:v>
                </c:pt>
                <c:pt idx="56">
                  <c:v>53</c:v>
                </c:pt>
                <c:pt idx="57">
                  <c:v>67</c:v>
                </c:pt>
                <c:pt idx="58">
                  <c:v>16</c:v>
                </c:pt>
                <c:pt idx="59">
                  <c:v>54</c:v>
                </c:pt>
                <c:pt idx="60">
                  <c:v>43</c:v>
                </c:pt>
                <c:pt idx="61">
                  <c:v>61</c:v>
                </c:pt>
                <c:pt idx="62">
                  <c:v>57</c:v>
                </c:pt>
                <c:pt idx="63">
                  <c:v>95</c:v>
                </c:pt>
                <c:pt idx="64">
                  <c:v>81</c:v>
                </c:pt>
                <c:pt idx="65">
                  <c:v>64</c:v>
                </c:pt>
                <c:pt idx="66">
                  <c:v>66</c:v>
                </c:pt>
                <c:pt idx="67">
                  <c:v>41</c:v>
                </c:pt>
                <c:pt idx="68">
                  <c:v>76</c:v>
                </c:pt>
                <c:pt idx="69">
                  <c:v>87</c:v>
                </c:pt>
                <c:pt idx="70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E4-43E6-8B87-F417736E99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707456"/>
        <c:axId val="444289704"/>
      </c:scatterChart>
      <c:valAx>
        <c:axId val="443707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44289704"/>
        <c:crosses val="autoZero"/>
        <c:crossBetween val="midCat"/>
      </c:valAx>
      <c:valAx>
        <c:axId val="444289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43707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611981</xdr:colOff>
      <xdr:row>257</xdr:row>
      <xdr:rowOff>100012</xdr:rowOff>
    </xdr:from>
    <xdr:to>
      <xdr:col>37</xdr:col>
      <xdr:colOff>540543</xdr:colOff>
      <xdr:row>272</xdr:row>
      <xdr:rowOff>128587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6BC3E726-14E1-436D-0139-5A6FA54541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PSZ" refreshedDate="45055.875887037037" createdVersion="8" refreshedVersion="8" minRefreshableVersion="3" recordCount="171" xr:uid="{80A5A2D6-C25A-457A-B611-4AD4D7801151}">
  <cacheSource type="worksheet">
    <worksheetSource name="Analiza_wRankingach"/>
  </cacheSource>
  <cacheFields count="16">
    <cacheField name="Nazwa uczelni" numFmtId="0">
      <sharedItems/>
    </cacheField>
    <cacheField name="THE" numFmtId="0">
      <sharedItems containsSemiMixedTypes="0" containsString="0" containsNumber="1" containsInteger="1" minValue="0" maxValue="1"/>
    </cacheField>
    <cacheField name="ARWU" numFmtId="0">
      <sharedItems containsSemiMixedTypes="0" containsString="0" containsNumber="1" containsInteger="1" minValue="0" maxValue="1"/>
    </cacheField>
    <cacheField name="QS" numFmtId="0">
      <sharedItems containsSemiMixedTypes="0" containsString="0" containsNumber="1" containsInteger="1" minValue="0" maxValue="1"/>
    </cacheField>
    <cacheField name="Webometrics" numFmtId="0">
      <sharedItems containsSemiMixedTypes="0" containsString="0" containsNumber="1" containsInteger="1" minValue="0" maxValue="1"/>
    </cacheField>
    <cacheField name="LiczbaWystąpień" numFmtId="0">
      <sharedItems containsSemiMixedTypes="0" containsString="0" containsNumber="1" containsInteger="1" minValue="1" maxValue="4" count="4">
        <n v="4"/>
        <n v="1"/>
        <n v="2"/>
        <n v="3"/>
      </sharedItems>
    </cacheField>
    <cacheField name="THE_RV" numFmtId="0">
      <sharedItems containsSemiMixedTypes="0" containsString="0" containsNumber="1" containsInteger="1" minValue="0" maxValue="99"/>
    </cacheField>
    <cacheField name="ARWU_RV" numFmtId="0">
      <sharedItems containsSemiMixedTypes="0" containsString="0" containsNumber="1" containsInteger="1" minValue="0" maxValue="99"/>
    </cacheField>
    <cacheField name="QS_RV" numFmtId="0">
      <sharedItems containsSemiMixedTypes="0" containsString="0" containsNumber="1" containsInteger="1" minValue="0" maxValue="100"/>
    </cacheField>
    <cacheField name="Webometrics_RV" numFmtId="0">
      <sharedItems containsSemiMixedTypes="0" containsString="0" containsNumber="1" containsInteger="1" minValue="0" maxValue="100"/>
    </cacheField>
    <cacheField name="WartośćKontrolna" numFmtId="0">
      <sharedItems containsSemiMixedTypes="0" containsString="0" containsNumber="1" containsInteger="1" minValue="9" maxValue="325"/>
    </cacheField>
    <cacheField name="THE_ID" numFmtId="0">
      <sharedItems containsSemiMixedTypes="0" containsString="0" containsNumber="1" containsInteger="1" minValue="0" maxValue="100"/>
    </cacheField>
    <cacheField name="ARWU_ID" numFmtId="0">
      <sharedItems containsSemiMixedTypes="0" containsString="0" containsNumber="1" containsInteger="1" minValue="0" maxValue="100"/>
    </cacheField>
    <cacheField name="QS_ID" numFmtId="0">
      <sharedItems containsSemiMixedTypes="0" containsString="0" containsNumber="1" containsInteger="1" minValue="0" maxValue="100"/>
    </cacheField>
    <cacheField name="Webometrics_ID" numFmtId="0">
      <sharedItems containsSemiMixedTypes="0" containsString="0" containsNumber="1" containsInteger="1" minValue="0" maxValue="100"/>
    </cacheField>
    <cacheField name="SumaKontrolnaID" numFmtId="0">
      <sharedItems containsSemiMixedTypes="0" containsString="0" containsNumber="1" containsInteger="1" minValue="9" maxValue="32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1">
  <r>
    <s v="Harvard University"/>
    <n v="1"/>
    <n v="1"/>
    <n v="1"/>
    <n v="1"/>
    <x v="0"/>
    <n v="2"/>
    <n v="1"/>
    <n v="5"/>
    <n v="1"/>
    <n v="9"/>
    <n v="2"/>
    <n v="1"/>
    <n v="5"/>
    <n v="1"/>
    <n v="9"/>
  </r>
  <r>
    <s v="Stanford University"/>
    <n v="1"/>
    <n v="1"/>
    <n v="1"/>
    <n v="1"/>
    <x v="0"/>
    <n v="3"/>
    <n v="2"/>
    <n v="3"/>
    <n v="2"/>
    <n v="10"/>
    <n v="4"/>
    <n v="2"/>
    <n v="3"/>
    <n v="2"/>
    <n v="11"/>
  </r>
  <r>
    <s v="Massachusetts Institute of Technology"/>
    <n v="1"/>
    <n v="1"/>
    <n v="1"/>
    <n v="1"/>
    <x v="0"/>
    <n v="5"/>
    <n v="3"/>
    <n v="1"/>
    <n v="3"/>
    <n v="12"/>
    <n v="5"/>
    <n v="3"/>
    <n v="1"/>
    <n v="3"/>
    <n v="12"/>
  </r>
  <r>
    <s v="University of Oxford"/>
    <n v="1"/>
    <n v="1"/>
    <n v="1"/>
    <n v="1"/>
    <x v="0"/>
    <n v="1"/>
    <n v="7"/>
    <n v="4"/>
    <n v="5"/>
    <n v="17"/>
    <n v="1"/>
    <n v="7"/>
    <n v="4"/>
    <n v="5"/>
    <n v="17"/>
  </r>
  <r>
    <s v="University of Cambridge"/>
    <n v="1"/>
    <n v="1"/>
    <n v="1"/>
    <n v="1"/>
    <x v="0"/>
    <n v="3"/>
    <n v="4"/>
    <n v="2"/>
    <n v="12"/>
    <n v="21"/>
    <n v="3"/>
    <n v="4"/>
    <n v="2"/>
    <n v="12"/>
    <n v="21"/>
  </r>
  <r>
    <s v="Ohio State University"/>
    <n v="0"/>
    <n v="0"/>
    <n v="0"/>
    <n v="1"/>
    <x v="1"/>
    <n v="0"/>
    <n v="0"/>
    <n v="0"/>
    <n v="36"/>
    <n v="36"/>
    <n v="0"/>
    <n v="0"/>
    <n v="0"/>
    <n v="36"/>
    <n v="36"/>
  </r>
  <r>
    <s v="University of Maryland College Park"/>
    <n v="0"/>
    <n v="0"/>
    <n v="0"/>
    <n v="1"/>
    <x v="1"/>
    <n v="0"/>
    <n v="0"/>
    <n v="0"/>
    <n v="43"/>
    <n v="43"/>
    <n v="0"/>
    <n v="0"/>
    <n v="0"/>
    <n v="43"/>
    <n v="43"/>
  </r>
  <r>
    <s v="University of California Berkeley"/>
    <n v="1"/>
    <n v="1"/>
    <n v="1"/>
    <n v="1"/>
    <x v="0"/>
    <n v="8"/>
    <n v="5"/>
    <n v="27"/>
    <n v="4"/>
    <n v="44"/>
    <n v="8"/>
    <n v="5"/>
    <n v="27"/>
    <n v="4"/>
    <n v="44"/>
  </r>
  <r>
    <s v="Rockefeller University"/>
    <n v="0"/>
    <n v="1"/>
    <n v="0"/>
    <n v="0"/>
    <x v="1"/>
    <n v="0"/>
    <n v="44"/>
    <n v="0"/>
    <n v="0"/>
    <n v="44"/>
    <n v="0"/>
    <n v="44"/>
    <n v="0"/>
    <n v="0"/>
    <n v="44"/>
  </r>
  <r>
    <s v="Michigan State University"/>
    <n v="0"/>
    <n v="0"/>
    <n v="0"/>
    <n v="1"/>
    <x v="1"/>
    <n v="0"/>
    <n v="0"/>
    <n v="0"/>
    <n v="48"/>
    <n v="48"/>
    <n v="0"/>
    <n v="0"/>
    <n v="0"/>
    <n v="48"/>
    <n v="48"/>
  </r>
  <r>
    <s v="Columbia University"/>
    <n v="1"/>
    <n v="1"/>
    <n v="1"/>
    <n v="1"/>
    <x v="0"/>
    <n v="11"/>
    <n v="8"/>
    <n v="22"/>
    <n v="9"/>
    <n v="50"/>
    <n v="11"/>
    <n v="8"/>
    <n v="22"/>
    <n v="9"/>
    <n v="50"/>
  </r>
  <r>
    <s v="University of Maryland, College Park"/>
    <n v="0"/>
    <n v="1"/>
    <n v="0"/>
    <n v="0"/>
    <x v="1"/>
    <n v="0"/>
    <n v="50"/>
    <n v="0"/>
    <n v="0"/>
    <n v="50"/>
    <n v="0"/>
    <n v="50"/>
    <n v="0"/>
    <n v="0"/>
    <n v="50"/>
  </r>
  <r>
    <s v="Rutgers The State University of New Jersey"/>
    <n v="0"/>
    <n v="0"/>
    <n v="0"/>
    <n v="1"/>
    <x v="1"/>
    <n v="0"/>
    <n v="0"/>
    <n v="0"/>
    <n v="51"/>
    <n v="51"/>
    <n v="0"/>
    <n v="0"/>
    <n v="0"/>
    <n v="51"/>
    <n v="51"/>
  </r>
  <r>
    <s v="University of Colorado at Boulder"/>
    <n v="0"/>
    <n v="1"/>
    <n v="0"/>
    <n v="0"/>
    <x v="1"/>
    <n v="0"/>
    <n v="51"/>
    <n v="0"/>
    <n v="0"/>
    <n v="51"/>
    <n v="0"/>
    <n v="51"/>
    <n v="0"/>
    <n v="0"/>
    <n v="51"/>
  </r>
  <r>
    <s v="Yale University"/>
    <n v="1"/>
    <n v="1"/>
    <n v="1"/>
    <n v="1"/>
    <x v="0"/>
    <n v="9"/>
    <n v="11"/>
    <n v="18"/>
    <n v="14"/>
    <n v="52"/>
    <n v="9"/>
    <n v="11"/>
    <n v="18"/>
    <n v="14"/>
    <n v="52"/>
  </r>
  <r>
    <s v="The University of Texas Southwestern Medical Center at Dallas"/>
    <n v="0"/>
    <n v="1"/>
    <n v="0"/>
    <n v="0"/>
    <x v="1"/>
    <n v="0"/>
    <n v="52"/>
    <n v="0"/>
    <n v="0"/>
    <n v="52"/>
    <n v="0"/>
    <n v="52"/>
    <n v="0"/>
    <n v="0"/>
    <n v="52"/>
  </r>
  <r>
    <s v="Texas A&amp;M University"/>
    <n v="0"/>
    <n v="0"/>
    <n v="0"/>
    <n v="1"/>
    <x v="1"/>
    <n v="0"/>
    <n v="0"/>
    <n v="0"/>
    <n v="53"/>
    <n v="53"/>
    <n v="0"/>
    <n v="0"/>
    <n v="0"/>
    <n v="53"/>
    <n v="53"/>
  </r>
  <r>
    <s v="University of Pennsylvania"/>
    <n v="1"/>
    <n v="1"/>
    <n v="1"/>
    <n v="1"/>
    <x v="0"/>
    <n v="14"/>
    <n v="15"/>
    <n v="13"/>
    <n v="11"/>
    <n v="53"/>
    <n v="14"/>
    <n v="15"/>
    <n v="13"/>
    <n v="11"/>
    <n v="53"/>
  </r>
  <r>
    <s v="University of Arizona"/>
    <n v="0"/>
    <n v="0"/>
    <n v="0"/>
    <n v="1"/>
    <x v="1"/>
    <n v="0"/>
    <n v="0"/>
    <n v="0"/>
    <n v="54"/>
    <n v="54"/>
    <n v="0"/>
    <n v="0"/>
    <n v="0"/>
    <n v="54"/>
    <n v="54"/>
  </r>
  <r>
    <s v="Arizona State University"/>
    <n v="0"/>
    <n v="0"/>
    <n v="0"/>
    <n v="1"/>
    <x v="1"/>
    <n v="0"/>
    <n v="0"/>
    <n v="0"/>
    <n v="55"/>
    <n v="55"/>
    <n v="0"/>
    <n v="0"/>
    <n v="0"/>
    <n v="55"/>
    <n v="55"/>
  </r>
  <r>
    <s v="Tokyo Institute of Technology (Tokyo Tech)"/>
    <n v="0"/>
    <n v="0"/>
    <n v="1"/>
    <n v="0"/>
    <x v="1"/>
    <n v="0"/>
    <n v="0"/>
    <n v="55"/>
    <n v="0"/>
    <n v="55"/>
    <n v="0"/>
    <n v="0"/>
    <n v="55"/>
    <n v="0"/>
    <n v="55"/>
  </r>
  <r>
    <s v="Princeton University"/>
    <n v="1"/>
    <n v="1"/>
    <n v="1"/>
    <n v="1"/>
    <x v="0"/>
    <n v="7"/>
    <n v="6"/>
    <n v="16"/>
    <n v="26"/>
    <n v="55"/>
    <n v="7"/>
    <n v="6"/>
    <n v="17"/>
    <n v="26"/>
    <n v="56"/>
  </r>
  <r>
    <s v="University of California San Francisco"/>
    <n v="0"/>
    <n v="1"/>
    <n v="0"/>
    <n v="1"/>
    <x v="2"/>
    <n v="0"/>
    <n v="19"/>
    <n v="0"/>
    <n v="39"/>
    <n v="58"/>
    <n v="0"/>
    <n v="19"/>
    <n v="0"/>
    <n v="39"/>
    <n v="58"/>
  </r>
  <r>
    <s v="University of Munich"/>
    <n v="0"/>
    <n v="1"/>
    <n v="0"/>
    <n v="0"/>
    <x v="1"/>
    <n v="0"/>
    <n v="57"/>
    <n v="0"/>
    <n v="0"/>
    <n v="57"/>
    <n v="0"/>
    <n v="58"/>
    <n v="0"/>
    <n v="0"/>
    <n v="58"/>
  </r>
  <r>
    <s v="Wageningen University &amp; Research"/>
    <n v="1"/>
    <n v="0"/>
    <n v="0"/>
    <n v="0"/>
    <x v="1"/>
    <n v="59"/>
    <n v="0"/>
    <n v="0"/>
    <n v="0"/>
    <n v="59"/>
    <n v="59"/>
    <n v="0"/>
    <n v="0"/>
    <n v="0"/>
    <n v="59"/>
  </r>
  <r>
    <s v="Cornell University"/>
    <n v="1"/>
    <n v="1"/>
    <n v="1"/>
    <n v="1"/>
    <x v="0"/>
    <n v="20"/>
    <n v="12"/>
    <n v="20"/>
    <n v="8"/>
    <n v="60"/>
    <n v="20"/>
    <n v="12"/>
    <n v="20"/>
    <n v="8"/>
    <n v="60"/>
  </r>
  <r>
    <s v="University of Chicago"/>
    <n v="1"/>
    <n v="1"/>
    <n v="1"/>
    <n v="1"/>
    <x v="0"/>
    <n v="13"/>
    <n v="10"/>
    <n v="10"/>
    <n v="29"/>
    <n v="62"/>
    <n v="13"/>
    <n v="10"/>
    <n v="10"/>
    <n v="29"/>
    <n v="62"/>
  </r>
  <r>
    <s v="University of Geneva"/>
    <n v="0"/>
    <n v="1"/>
    <n v="0"/>
    <n v="0"/>
    <x v="1"/>
    <n v="0"/>
    <n v="62"/>
    <n v="0"/>
    <n v="0"/>
    <n v="62"/>
    <n v="0"/>
    <n v="62"/>
    <n v="0"/>
    <n v="0"/>
    <n v="62"/>
  </r>
  <r>
    <s v="University of Utah"/>
    <n v="0"/>
    <n v="0"/>
    <n v="0"/>
    <n v="1"/>
    <x v="1"/>
    <n v="0"/>
    <n v="0"/>
    <n v="0"/>
    <n v="63"/>
    <n v="63"/>
    <n v="0"/>
    <n v="0"/>
    <n v="0"/>
    <n v="63"/>
    <n v="63"/>
  </r>
  <r>
    <s v="Johns Hopkins University"/>
    <n v="1"/>
    <n v="1"/>
    <n v="1"/>
    <n v="1"/>
    <x v="0"/>
    <n v="15"/>
    <n v="14"/>
    <n v="24"/>
    <n v="10"/>
    <n v="63"/>
    <n v="15"/>
    <n v="14"/>
    <n v="24"/>
    <n v="10"/>
    <n v="63"/>
  </r>
  <r>
    <s v="UCL University College London"/>
    <n v="1"/>
    <n v="1"/>
    <n v="1"/>
    <n v="1"/>
    <x v="0"/>
    <n v="22"/>
    <n v="18"/>
    <n v="8"/>
    <n v="15"/>
    <n v="63"/>
    <n v="22"/>
    <n v="18"/>
    <n v="8"/>
    <n v="15"/>
    <n v="63"/>
  </r>
  <r>
    <s v="The University of Warwick"/>
    <n v="0"/>
    <n v="0"/>
    <n v="1"/>
    <n v="0"/>
    <x v="1"/>
    <n v="0"/>
    <n v="0"/>
    <n v="64"/>
    <n v="0"/>
    <n v="64"/>
    <n v="0"/>
    <n v="0"/>
    <n v="64"/>
    <n v="0"/>
    <n v="64"/>
  </r>
  <r>
    <s v="University of Virginia"/>
    <n v="0"/>
    <n v="0"/>
    <n v="0"/>
    <n v="1"/>
    <x v="1"/>
    <n v="0"/>
    <n v="0"/>
    <n v="0"/>
    <n v="64"/>
    <n v="64"/>
    <n v="0"/>
    <n v="0"/>
    <n v="0"/>
    <n v="64"/>
    <n v="64"/>
  </r>
  <r>
    <s v="University of Minnesota, Twin Cities"/>
    <n v="0"/>
    <n v="1"/>
    <n v="0"/>
    <n v="1"/>
    <x v="2"/>
    <n v="0"/>
    <n v="44"/>
    <n v="0"/>
    <n v="18"/>
    <n v="62"/>
    <n v="0"/>
    <n v="46"/>
    <n v="0"/>
    <n v="18"/>
    <n v="64"/>
  </r>
  <r>
    <s v="Universidad de Buenos Aires (UBA)"/>
    <n v="0"/>
    <n v="0"/>
    <n v="1"/>
    <n v="0"/>
    <x v="1"/>
    <n v="0"/>
    <n v="0"/>
    <n v="67"/>
    <n v="0"/>
    <n v="67"/>
    <n v="0"/>
    <n v="0"/>
    <n v="67"/>
    <n v="0"/>
    <n v="67"/>
  </r>
  <r>
    <s v="Osaka University"/>
    <n v="0"/>
    <n v="0"/>
    <n v="1"/>
    <n v="0"/>
    <x v="1"/>
    <n v="0"/>
    <n v="0"/>
    <n v="68"/>
    <n v="0"/>
    <n v="68"/>
    <n v="0"/>
    <n v="0"/>
    <n v="68"/>
    <n v="0"/>
    <n v="68"/>
  </r>
  <r>
    <s v="Aarhus University"/>
    <n v="0"/>
    <n v="1"/>
    <n v="0"/>
    <n v="0"/>
    <x v="1"/>
    <n v="0"/>
    <n v="69"/>
    <n v="0"/>
    <n v="0"/>
    <n v="69"/>
    <n v="0"/>
    <n v="69"/>
    <n v="0"/>
    <n v="0"/>
    <n v="69"/>
  </r>
  <r>
    <s v="Universidade de São Paulo USP"/>
    <n v="0"/>
    <n v="0"/>
    <n v="0"/>
    <n v="1"/>
    <x v="1"/>
    <n v="0"/>
    <n v="0"/>
    <n v="0"/>
    <n v="70"/>
    <n v="70"/>
    <n v="0"/>
    <n v="0"/>
    <n v="0"/>
    <n v="70"/>
    <n v="70"/>
  </r>
  <r>
    <s v="Universiti Malaya (UM)"/>
    <n v="0"/>
    <n v="0"/>
    <n v="1"/>
    <n v="0"/>
    <x v="1"/>
    <n v="0"/>
    <n v="0"/>
    <n v="70"/>
    <n v="0"/>
    <n v="70"/>
    <n v="0"/>
    <n v="0"/>
    <n v="70"/>
    <n v="0"/>
    <n v="70"/>
  </r>
  <r>
    <s v="Heidelberg University"/>
    <n v="0"/>
    <n v="1"/>
    <n v="0"/>
    <n v="0"/>
    <x v="1"/>
    <n v="0"/>
    <n v="70"/>
    <n v="0"/>
    <n v="0"/>
    <n v="70"/>
    <n v="0"/>
    <n v="70"/>
    <n v="0"/>
    <n v="0"/>
    <n v="70"/>
  </r>
  <r>
    <s v="Pohang University of Science And Technology (POSTECH)"/>
    <n v="0"/>
    <n v="0"/>
    <n v="1"/>
    <n v="0"/>
    <x v="1"/>
    <n v="0"/>
    <n v="0"/>
    <n v="71"/>
    <n v="0"/>
    <n v="71"/>
    <n v="0"/>
    <n v="0"/>
    <n v="71"/>
    <n v="0"/>
    <n v="71"/>
  </r>
  <r>
    <s v="ETH Zurich"/>
    <n v="1"/>
    <n v="1"/>
    <n v="1"/>
    <n v="1"/>
    <x v="0"/>
    <n v="11"/>
    <n v="20"/>
    <n v="9"/>
    <n v="30"/>
    <n v="70"/>
    <n v="12"/>
    <n v="20"/>
    <n v="9"/>
    <n v="30"/>
    <n v="71"/>
  </r>
  <r>
    <s v="The University of Texas M. D. Anderson Cancer Center"/>
    <n v="0"/>
    <n v="1"/>
    <n v="0"/>
    <n v="0"/>
    <x v="1"/>
    <n v="0"/>
    <n v="71"/>
    <n v="0"/>
    <n v="0"/>
    <n v="71"/>
    <n v="0"/>
    <n v="72"/>
    <n v="0"/>
    <n v="0"/>
    <n v="72"/>
  </r>
  <r>
    <s v="Charité - Universitätsmedizin Berlin"/>
    <n v="1"/>
    <n v="0"/>
    <n v="0"/>
    <n v="0"/>
    <x v="1"/>
    <n v="73"/>
    <n v="0"/>
    <n v="0"/>
    <n v="0"/>
    <n v="73"/>
    <n v="73"/>
    <n v="0"/>
    <n v="0"/>
    <n v="0"/>
    <n v="73"/>
  </r>
  <r>
    <s v="Korea University"/>
    <n v="0"/>
    <n v="0"/>
    <n v="1"/>
    <n v="0"/>
    <x v="1"/>
    <n v="0"/>
    <n v="0"/>
    <n v="74"/>
    <n v="0"/>
    <n v="74"/>
    <n v="0"/>
    <n v="0"/>
    <n v="74"/>
    <n v="0"/>
    <n v="74"/>
  </r>
  <r>
    <s v="Ghent University"/>
    <n v="0"/>
    <n v="1"/>
    <n v="0"/>
    <n v="0"/>
    <x v="1"/>
    <n v="0"/>
    <n v="74"/>
    <n v="0"/>
    <n v="0"/>
    <n v="74"/>
    <n v="0"/>
    <n v="74"/>
    <n v="0"/>
    <n v="0"/>
    <n v="74"/>
  </r>
  <r>
    <s v="Lomonosov Moscow State University"/>
    <n v="0"/>
    <n v="0"/>
    <n v="1"/>
    <n v="0"/>
    <x v="1"/>
    <n v="0"/>
    <n v="0"/>
    <n v="75"/>
    <n v="0"/>
    <n v="75"/>
    <n v="0"/>
    <n v="0"/>
    <n v="75"/>
    <n v="0"/>
    <n v="75"/>
  </r>
  <r>
    <s v="Imperial College London"/>
    <n v="1"/>
    <n v="1"/>
    <n v="1"/>
    <n v="1"/>
    <x v="0"/>
    <n v="10"/>
    <n v="23"/>
    <n v="6"/>
    <n v="35"/>
    <n v="74"/>
    <n v="10"/>
    <n v="23"/>
    <n v="7"/>
    <n v="35"/>
    <n v="75"/>
  </r>
  <r>
    <s v="Leiden University"/>
    <n v="1"/>
    <n v="0"/>
    <n v="0"/>
    <n v="0"/>
    <x v="1"/>
    <n v="77"/>
    <n v="0"/>
    <n v="0"/>
    <n v="0"/>
    <n v="77"/>
    <n v="77"/>
    <n v="0"/>
    <n v="0"/>
    <n v="0"/>
    <n v="77"/>
  </r>
  <r>
    <s v="National Taiwan University (NTU)"/>
    <n v="0"/>
    <n v="0"/>
    <n v="1"/>
    <n v="0"/>
    <x v="1"/>
    <n v="0"/>
    <n v="0"/>
    <n v="77"/>
    <n v="0"/>
    <n v="77"/>
    <n v="0"/>
    <n v="0"/>
    <n v="77"/>
    <n v="0"/>
    <n v="77"/>
  </r>
  <r>
    <s v="North Carolina State University"/>
    <n v="0"/>
    <n v="0"/>
    <n v="0"/>
    <n v="1"/>
    <x v="1"/>
    <n v="0"/>
    <n v="0"/>
    <n v="0"/>
    <n v="77"/>
    <n v="77"/>
    <n v="0"/>
    <n v="0"/>
    <n v="0"/>
    <n v="77"/>
    <n v="77"/>
  </r>
  <r>
    <s v="The Hebrew University of Jerusalem"/>
    <n v="0"/>
    <n v="1"/>
    <n v="0"/>
    <n v="0"/>
    <x v="1"/>
    <n v="0"/>
    <n v="77"/>
    <n v="0"/>
    <n v="0"/>
    <n v="77"/>
    <n v="0"/>
    <n v="77"/>
    <n v="0"/>
    <n v="0"/>
    <n v="77"/>
  </r>
  <r>
    <s v="Catholic University of Leuven / Katholieke Universiteit Leuven"/>
    <n v="0"/>
    <n v="0"/>
    <n v="0"/>
    <n v="1"/>
    <x v="1"/>
    <n v="0"/>
    <n v="0"/>
    <n v="0"/>
    <n v="78"/>
    <n v="78"/>
    <n v="0"/>
    <n v="0"/>
    <n v="0"/>
    <n v="78"/>
    <n v="78"/>
  </r>
  <r>
    <s v="University of Southampton"/>
    <n v="0"/>
    <n v="0"/>
    <n v="1"/>
    <n v="0"/>
    <x v="1"/>
    <n v="0"/>
    <n v="0"/>
    <n v="78"/>
    <n v="0"/>
    <n v="78"/>
    <n v="0"/>
    <n v="0"/>
    <n v="78"/>
    <n v="0"/>
    <n v="78"/>
  </r>
  <r>
    <s v="Université Paris Cité"/>
    <n v="0"/>
    <n v="1"/>
    <n v="0"/>
    <n v="0"/>
    <x v="1"/>
    <n v="0"/>
    <n v="78"/>
    <n v="0"/>
    <n v="0"/>
    <n v="78"/>
    <n v="0"/>
    <n v="78"/>
    <n v="0"/>
    <n v="0"/>
    <n v="78"/>
  </r>
  <r>
    <s v="Tohoku University"/>
    <n v="0"/>
    <n v="0"/>
    <n v="1"/>
    <n v="0"/>
    <x v="1"/>
    <n v="0"/>
    <n v="0"/>
    <n v="79"/>
    <n v="0"/>
    <n v="79"/>
    <n v="0"/>
    <n v="0"/>
    <n v="79"/>
    <n v="0"/>
    <n v="79"/>
  </r>
  <r>
    <s v="Sun Yat-sen University"/>
    <n v="0"/>
    <n v="1"/>
    <n v="0"/>
    <n v="0"/>
    <x v="1"/>
    <n v="0"/>
    <n v="79"/>
    <n v="0"/>
    <n v="0"/>
    <n v="79"/>
    <n v="0"/>
    <n v="79"/>
    <n v="0"/>
    <n v="0"/>
    <n v="79"/>
  </r>
  <r>
    <s v="California Institute of Technology"/>
    <n v="1"/>
    <n v="1"/>
    <n v="1"/>
    <n v="1"/>
    <x v="0"/>
    <n v="6"/>
    <n v="9"/>
    <n v="6"/>
    <n v="59"/>
    <n v="80"/>
    <n v="6"/>
    <n v="9"/>
    <n v="6"/>
    <n v="59"/>
    <n v="80"/>
  </r>
  <r>
    <s v="Tsinghua University"/>
    <n v="1"/>
    <n v="1"/>
    <n v="1"/>
    <n v="1"/>
    <x v="0"/>
    <n v="16"/>
    <n v="26"/>
    <n v="14"/>
    <n v="24"/>
    <n v="80"/>
    <n v="16"/>
    <n v="26"/>
    <n v="14"/>
    <n v="24"/>
    <n v="80"/>
  </r>
  <r>
    <s v="University of Iowa"/>
    <n v="0"/>
    <n v="0"/>
    <n v="0"/>
    <n v="1"/>
    <x v="1"/>
    <n v="0"/>
    <n v="0"/>
    <n v="0"/>
    <n v="82"/>
    <n v="82"/>
    <n v="0"/>
    <n v="0"/>
    <n v="0"/>
    <n v="82"/>
    <n v="82"/>
  </r>
  <r>
    <s v="University of Michigan-Ann Arbor"/>
    <n v="1"/>
    <n v="1"/>
    <n v="1"/>
    <n v="1"/>
    <x v="0"/>
    <n v="23"/>
    <n v="28"/>
    <n v="25"/>
    <n v="6"/>
    <n v="82"/>
    <n v="23"/>
    <n v="28"/>
    <n v="25"/>
    <n v="6"/>
    <n v="82"/>
  </r>
  <r>
    <s v="Virginia Polytechnic Institute and State University"/>
    <n v="0"/>
    <n v="0"/>
    <n v="0"/>
    <n v="1"/>
    <x v="1"/>
    <n v="0"/>
    <n v="0"/>
    <n v="0"/>
    <n v="83"/>
    <n v="83"/>
    <n v="0"/>
    <n v="0"/>
    <n v="0"/>
    <n v="83"/>
    <n v="83"/>
  </r>
  <r>
    <s v="Technion-Israel Institute of Technology"/>
    <n v="0"/>
    <n v="1"/>
    <n v="0"/>
    <n v="0"/>
    <x v="1"/>
    <n v="0"/>
    <n v="83"/>
    <n v="0"/>
    <n v="0"/>
    <n v="83"/>
    <n v="0"/>
    <n v="84"/>
    <n v="0"/>
    <n v="0"/>
    <n v="84"/>
  </r>
  <r>
    <s v="University of Waterloo"/>
    <n v="0"/>
    <n v="0"/>
    <n v="0"/>
    <n v="1"/>
    <x v="1"/>
    <n v="0"/>
    <n v="0"/>
    <n v="0"/>
    <n v="85"/>
    <n v="85"/>
    <n v="0"/>
    <n v="0"/>
    <n v="0"/>
    <n v="85"/>
    <n v="85"/>
  </r>
  <r>
    <s v="University of Basel"/>
    <n v="0"/>
    <n v="1"/>
    <n v="0"/>
    <n v="0"/>
    <x v="1"/>
    <n v="0"/>
    <n v="83"/>
    <n v="0"/>
    <n v="0"/>
    <n v="83"/>
    <n v="0"/>
    <n v="85"/>
    <n v="0"/>
    <n v="0"/>
    <n v="85"/>
  </r>
  <r>
    <s v="Humboldt University of Berlin"/>
    <n v="1"/>
    <n v="0"/>
    <n v="0"/>
    <n v="0"/>
    <x v="1"/>
    <n v="86"/>
    <n v="0"/>
    <n v="0"/>
    <n v="0"/>
    <n v="86"/>
    <n v="86"/>
    <n v="0"/>
    <n v="0"/>
    <n v="0"/>
    <n v="86"/>
  </r>
  <r>
    <s v="Technische Universität München"/>
    <n v="0"/>
    <n v="0"/>
    <n v="0"/>
    <n v="1"/>
    <x v="1"/>
    <n v="0"/>
    <n v="0"/>
    <n v="0"/>
    <n v="86"/>
    <n v="86"/>
    <n v="0"/>
    <n v="0"/>
    <n v="0"/>
    <n v="86"/>
    <n v="86"/>
  </r>
  <r>
    <s v="Weizmann Institute of Science"/>
    <n v="0"/>
    <n v="1"/>
    <n v="0"/>
    <n v="0"/>
    <x v="1"/>
    <n v="0"/>
    <n v="83"/>
    <n v="0"/>
    <n v="0"/>
    <n v="83"/>
    <n v="0"/>
    <n v="86"/>
    <n v="0"/>
    <n v="0"/>
    <n v="86"/>
  </r>
  <r>
    <s v="The University of Auckland"/>
    <n v="0"/>
    <n v="0"/>
    <n v="1"/>
    <n v="0"/>
    <x v="1"/>
    <n v="0"/>
    <n v="0"/>
    <n v="87"/>
    <n v="0"/>
    <n v="87"/>
    <n v="0"/>
    <n v="0"/>
    <n v="87"/>
    <n v="0"/>
    <n v="87"/>
  </r>
  <r>
    <s v="University of Tübingen"/>
    <n v="1"/>
    <n v="0"/>
    <n v="0"/>
    <n v="0"/>
    <x v="1"/>
    <n v="86"/>
    <n v="0"/>
    <n v="0"/>
    <n v="0"/>
    <n v="86"/>
    <n v="87"/>
    <n v="0"/>
    <n v="0"/>
    <n v="0"/>
    <n v="87"/>
  </r>
  <r>
    <s v="KTH Royal Institute of Technology"/>
    <n v="0"/>
    <n v="0"/>
    <n v="1"/>
    <n v="0"/>
    <x v="1"/>
    <n v="0"/>
    <n v="0"/>
    <n v="89"/>
    <n v="0"/>
    <n v="89"/>
    <n v="0"/>
    <n v="0"/>
    <n v="89"/>
    <n v="0"/>
    <n v="89"/>
  </r>
  <r>
    <s v="Uppsala University"/>
    <n v="0"/>
    <n v="1"/>
    <n v="0"/>
    <n v="0"/>
    <x v="1"/>
    <n v="0"/>
    <n v="89"/>
    <n v="0"/>
    <n v="0"/>
    <n v="89"/>
    <n v="0"/>
    <n v="89"/>
    <n v="0"/>
    <n v="0"/>
    <n v="89"/>
  </r>
  <r>
    <s v="Karolinska Institute"/>
    <n v="1"/>
    <n v="1"/>
    <n v="0"/>
    <n v="0"/>
    <x v="2"/>
    <n v="49"/>
    <n v="41"/>
    <n v="0"/>
    <n v="0"/>
    <n v="90"/>
    <n v="49"/>
    <n v="41"/>
    <n v="0"/>
    <n v="0"/>
    <n v="90"/>
  </r>
  <r>
    <s v="Free University of Berlin"/>
    <n v="1"/>
    <n v="0"/>
    <n v="0"/>
    <n v="0"/>
    <x v="1"/>
    <n v="91"/>
    <n v="0"/>
    <n v="0"/>
    <n v="0"/>
    <n v="91"/>
    <n v="91"/>
    <n v="0"/>
    <n v="0"/>
    <n v="0"/>
    <n v="91"/>
  </r>
  <r>
    <s v="University of Birmingham"/>
    <n v="0"/>
    <n v="0"/>
    <n v="1"/>
    <n v="0"/>
    <x v="1"/>
    <n v="0"/>
    <n v="0"/>
    <n v="91"/>
    <n v="0"/>
    <n v="91"/>
    <n v="0"/>
    <n v="0"/>
    <n v="91"/>
    <n v="0"/>
    <n v="91"/>
  </r>
  <r>
    <s v="University of Calgary"/>
    <n v="0"/>
    <n v="0"/>
    <n v="0"/>
    <n v="1"/>
    <x v="1"/>
    <n v="0"/>
    <n v="0"/>
    <n v="0"/>
    <n v="91"/>
    <n v="91"/>
    <n v="0"/>
    <n v="0"/>
    <n v="0"/>
    <n v="91"/>
    <n v="91"/>
  </r>
  <r>
    <s v="University of California Los Angeles UCLA"/>
    <n v="1"/>
    <n v="1"/>
    <n v="1"/>
    <n v="1"/>
    <x v="0"/>
    <n v="21"/>
    <n v="13"/>
    <n v="44"/>
    <n v="13"/>
    <n v="91"/>
    <n v="21"/>
    <n v="13"/>
    <n v="44"/>
    <n v="13"/>
    <n v="91"/>
  </r>
  <r>
    <s v="University of Toronto"/>
    <n v="1"/>
    <n v="1"/>
    <n v="1"/>
    <n v="1"/>
    <x v="0"/>
    <n v="18"/>
    <n v="22"/>
    <n v="34"/>
    <n v="16"/>
    <n v="90"/>
    <n v="18"/>
    <n v="22"/>
    <n v="35"/>
    <n v="16"/>
    <n v="91"/>
  </r>
  <r>
    <s v="Stockholm University"/>
    <n v="0"/>
    <n v="1"/>
    <n v="0"/>
    <n v="0"/>
    <x v="1"/>
    <n v="0"/>
    <n v="90"/>
    <n v="0"/>
    <n v="0"/>
    <n v="90"/>
    <n v="0"/>
    <n v="91"/>
    <n v="0"/>
    <n v="0"/>
    <n v="91"/>
  </r>
  <r>
    <s v="LMU Munich"/>
    <n v="1"/>
    <n v="0"/>
    <n v="1"/>
    <n v="0"/>
    <x v="2"/>
    <n v="33"/>
    <n v="0"/>
    <n v="59"/>
    <n v="0"/>
    <n v="92"/>
    <n v="33"/>
    <n v="0"/>
    <n v="59"/>
    <n v="0"/>
    <n v="92"/>
  </r>
  <r>
    <s v="Durham University"/>
    <n v="0"/>
    <n v="0"/>
    <n v="1"/>
    <n v="0"/>
    <x v="1"/>
    <n v="0"/>
    <n v="0"/>
    <n v="92"/>
    <n v="0"/>
    <n v="92"/>
    <n v="0"/>
    <n v="0"/>
    <n v="92"/>
    <n v="0"/>
    <n v="92"/>
  </r>
  <r>
    <s v="London School of Economics and Political Science"/>
    <n v="1"/>
    <n v="0"/>
    <n v="1"/>
    <n v="0"/>
    <x v="2"/>
    <n v="37"/>
    <n v="0"/>
    <n v="56"/>
    <n v="0"/>
    <n v="93"/>
    <n v="37"/>
    <n v="0"/>
    <n v="56"/>
    <n v="0"/>
    <n v="93"/>
  </r>
  <r>
    <s v="University of Bern"/>
    <n v="1"/>
    <n v="0"/>
    <n v="0"/>
    <n v="0"/>
    <x v="1"/>
    <n v="94"/>
    <n v="0"/>
    <n v="0"/>
    <n v="0"/>
    <n v="94"/>
    <n v="94"/>
    <n v="0"/>
    <n v="0"/>
    <n v="0"/>
    <n v="94"/>
  </r>
  <r>
    <s v="Lund University"/>
    <n v="0"/>
    <n v="0"/>
    <n v="1"/>
    <n v="0"/>
    <x v="1"/>
    <n v="0"/>
    <n v="0"/>
    <n v="95"/>
    <n v="0"/>
    <n v="95"/>
    <n v="0"/>
    <n v="0"/>
    <n v="95"/>
    <n v="0"/>
    <n v="95"/>
  </r>
  <r>
    <s v="Peking University"/>
    <n v="1"/>
    <n v="1"/>
    <n v="1"/>
    <n v="1"/>
    <x v="0"/>
    <n v="17"/>
    <n v="34"/>
    <n v="12"/>
    <n v="32"/>
    <n v="95"/>
    <n v="17"/>
    <n v="34"/>
    <n v="12"/>
    <n v="32"/>
    <n v="95"/>
  </r>
  <r>
    <s v="The University of Sheffield"/>
    <n v="0"/>
    <n v="0"/>
    <n v="1"/>
    <n v="0"/>
    <x v="1"/>
    <n v="0"/>
    <n v="0"/>
    <n v="96"/>
    <n v="0"/>
    <n v="96"/>
    <n v="0"/>
    <n v="0"/>
    <n v="96"/>
    <n v="0"/>
    <n v="96"/>
  </r>
  <r>
    <s v="Huazhong University of Science and Technology"/>
    <n v="0"/>
    <n v="1"/>
    <n v="0"/>
    <n v="0"/>
    <x v="1"/>
    <n v="0"/>
    <n v="96"/>
    <n v="0"/>
    <n v="0"/>
    <n v="96"/>
    <n v="0"/>
    <n v="96"/>
    <n v="0"/>
    <n v="0"/>
    <n v="96"/>
  </r>
  <r>
    <s v="Nanjing University"/>
    <n v="1"/>
    <n v="0"/>
    <n v="0"/>
    <n v="0"/>
    <x v="1"/>
    <n v="95"/>
    <n v="0"/>
    <n v="0"/>
    <n v="0"/>
    <n v="95"/>
    <n v="97"/>
    <n v="0"/>
    <n v="0"/>
    <n v="0"/>
    <n v="97"/>
  </r>
  <r>
    <s v="University of St Andrews"/>
    <n v="0"/>
    <n v="0"/>
    <n v="1"/>
    <n v="0"/>
    <x v="1"/>
    <n v="0"/>
    <n v="0"/>
    <n v="96"/>
    <n v="0"/>
    <n v="96"/>
    <n v="0"/>
    <n v="0"/>
    <n v="97"/>
    <n v="0"/>
    <n v="97"/>
  </r>
  <r>
    <s v="The Hong Kong University of Science and Technology"/>
    <n v="1"/>
    <n v="0"/>
    <n v="1"/>
    <n v="0"/>
    <x v="2"/>
    <n v="58"/>
    <n v="0"/>
    <n v="40"/>
    <n v="0"/>
    <n v="98"/>
    <n v="58"/>
    <n v="0"/>
    <n v="40"/>
    <n v="0"/>
    <n v="98"/>
  </r>
  <r>
    <s v="Indiana University Bloomington"/>
    <n v="0"/>
    <n v="0"/>
    <n v="0"/>
    <n v="1"/>
    <x v="1"/>
    <n v="0"/>
    <n v="0"/>
    <n v="0"/>
    <n v="98"/>
    <n v="98"/>
    <n v="0"/>
    <n v="0"/>
    <n v="0"/>
    <n v="98"/>
    <n v="98"/>
  </r>
  <r>
    <s v="Trinity College Dublin, The University of Dublin"/>
    <n v="0"/>
    <n v="0"/>
    <n v="1"/>
    <n v="0"/>
    <x v="1"/>
    <n v="0"/>
    <n v="0"/>
    <n v="98"/>
    <n v="0"/>
    <n v="98"/>
    <n v="0"/>
    <n v="0"/>
    <n v="98"/>
    <n v="0"/>
    <n v="98"/>
  </r>
  <r>
    <s v="Sungkyunkwan University (SKKU)"/>
    <n v="0"/>
    <n v="0"/>
    <n v="1"/>
    <n v="0"/>
    <x v="1"/>
    <n v="0"/>
    <n v="0"/>
    <n v="99"/>
    <n v="0"/>
    <n v="99"/>
    <n v="0"/>
    <n v="0"/>
    <n v="99"/>
    <n v="0"/>
    <n v="99"/>
  </r>
  <r>
    <s v="University of California Davis"/>
    <n v="1"/>
    <n v="0"/>
    <n v="0"/>
    <n v="1"/>
    <x v="2"/>
    <n v="63"/>
    <n v="0"/>
    <n v="0"/>
    <n v="37"/>
    <n v="100"/>
    <n v="63"/>
    <n v="0"/>
    <n v="0"/>
    <n v="37"/>
    <n v="100"/>
  </r>
  <r>
    <s v="Rice University"/>
    <n v="0"/>
    <n v="0"/>
    <n v="1"/>
    <n v="0"/>
    <x v="1"/>
    <n v="0"/>
    <n v="0"/>
    <n v="100"/>
    <n v="0"/>
    <n v="100"/>
    <n v="0"/>
    <n v="0"/>
    <n v="100"/>
    <n v="0"/>
    <n v="100"/>
  </r>
  <r>
    <s v="RWTH Aachen University"/>
    <n v="1"/>
    <n v="0"/>
    <n v="0"/>
    <n v="0"/>
    <x v="1"/>
    <n v="99"/>
    <n v="0"/>
    <n v="0"/>
    <n v="0"/>
    <n v="99"/>
    <n v="100"/>
    <n v="0"/>
    <n v="0"/>
    <n v="0"/>
    <n v="100"/>
  </r>
  <r>
    <s v="University of Massachusetts Amherst"/>
    <n v="0"/>
    <n v="0"/>
    <n v="0"/>
    <n v="1"/>
    <x v="1"/>
    <n v="0"/>
    <n v="0"/>
    <n v="0"/>
    <n v="100"/>
    <n v="100"/>
    <n v="0"/>
    <n v="0"/>
    <n v="0"/>
    <n v="100"/>
    <n v="100"/>
  </r>
  <r>
    <s v="Universität Heidelberg"/>
    <n v="1"/>
    <n v="0"/>
    <n v="1"/>
    <n v="0"/>
    <x v="2"/>
    <n v="43"/>
    <n v="0"/>
    <n v="65"/>
    <n v="0"/>
    <n v="108"/>
    <n v="43"/>
    <n v="0"/>
    <n v="65"/>
    <n v="0"/>
    <n v="108"/>
  </r>
  <r>
    <s v="Northwestern University"/>
    <n v="1"/>
    <n v="1"/>
    <n v="1"/>
    <n v="1"/>
    <x v="0"/>
    <n v="26"/>
    <n v="30"/>
    <n v="32"/>
    <n v="22"/>
    <n v="110"/>
    <n v="26"/>
    <n v="30"/>
    <n v="32"/>
    <n v="22"/>
    <n v="110"/>
  </r>
  <r>
    <s v="New York University"/>
    <n v="1"/>
    <n v="1"/>
    <n v="1"/>
    <n v="1"/>
    <x v="0"/>
    <n v="24"/>
    <n v="25"/>
    <n v="39"/>
    <n v="23"/>
    <n v="111"/>
    <n v="24"/>
    <n v="25"/>
    <n v="39"/>
    <n v="23"/>
    <n v="111"/>
  </r>
  <r>
    <s v="Pennsylvania State University"/>
    <n v="0"/>
    <n v="0"/>
    <n v="1"/>
    <n v="1"/>
    <x v="2"/>
    <n v="0"/>
    <n v="0"/>
    <n v="93"/>
    <n v="19"/>
    <n v="112"/>
    <n v="0"/>
    <n v="0"/>
    <n v="93"/>
    <n v="19"/>
    <n v="112"/>
  </r>
  <r>
    <s v="Université PSL"/>
    <n v="1"/>
    <n v="1"/>
    <n v="1"/>
    <n v="0"/>
    <x v="3"/>
    <n v="47"/>
    <n v="40"/>
    <n v="26"/>
    <n v="0"/>
    <n v="113"/>
    <n v="47"/>
    <n v="40"/>
    <n v="26"/>
    <n v="0"/>
    <n v="113"/>
  </r>
  <r>
    <s v="University of California San Diego"/>
    <n v="1"/>
    <n v="1"/>
    <n v="1"/>
    <n v="1"/>
    <x v="0"/>
    <n v="32"/>
    <n v="21"/>
    <n v="53"/>
    <n v="17"/>
    <n v="123"/>
    <n v="32"/>
    <n v="21"/>
    <n v="53"/>
    <n v="17"/>
    <n v="123"/>
  </r>
  <r>
    <s v="University of Edinburgh"/>
    <n v="1"/>
    <n v="1"/>
    <n v="1"/>
    <n v="1"/>
    <x v="0"/>
    <n v="29"/>
    <n v="35"/>
    <n v="15"/>
    <n v="44"/>
    <n v="123"/>
    <n v="29"/>
    <n v="35"/>
    <n v="15"/>
    <n v="44"/>
    <n v="123"/>
  </r>
  <r>
    <s v="Washington University in St Louis"/>
    <n v="1"/>
    <n v="1"/>
    <n v="0"/>
    <n v="1"/>
    <x v="3"/>
    <n v="57"/>
    <n v="27"/>
    <n v="0"/>
    <n v="42"/>
    <n v="126"/>
    <n v="57"/>
    <n v="27"/>
    <n v="0"/>
    <n v="42"/>
    <n v="126"/>
  </r>
  <r>
    <s v="University of North Carolina at Chapel Hill"/>
    <n v="1"/>
    <n v="1"/>
    <n v="0"/>
    <n v="1"/>
    <x v="3"/>
    <n v="69"/>
    <n v="29"/>
    <n v="0"/>
    <n v="28"/>
    <n v="126"/>
    <n v="69"/>
    <n v="29"/>
    <n v="0"/>
    <n v="28"/>
    <n v="126"/>
  </r>
  <r>
    <s v="Boston University"/>
    <n v="1"/>
    <n v="0"/>
    <n v="0"/>
    <n v="1"/>
    <x v="2"/>
    <n v="71"/>
    <n v="0"/>
    <n v="0"/>
    <n v="56"/>
    <n v="127"/>
    <n v="71"/>
    <n v="0"/>
    <n v="0"/>
    <n v="56"/>
    <n v="127"/>
  </r>
  <r>
    <s v="Duke University"/>
    <n v="1"/>
    <n v="1"/>
    <n v="1"/>
    <n v="1"/>
    <x v="0"/>
    <n v="25"/>
    <n v="31"/>
    <n v="50"/>
    <n v="21"/>
    <n v="127"/>
    <n v="25"/>
    <n v="31"/>
    <n v="50"/>
    <n v="21"/>
    <n v="127"/>
  </r>
  <r>
    <s v="University of Pittsburgh"/>
    <n v="0"/>
    <n v="1"/>
    <n v="0"/>
    <n v="1"/>
    <x v="2"/>
    <n v="0"/>
    <n v="82"/>
    <n v="0"/>
    <n v="46"/>
    <n v="128"/>
    <n v="0"/>
    <n v="82"/>
    <n v="0"/>
    <n v="46"/>
    <n v="128"/>
  </r>
  <r>
    <s v="Purdue University"/>
    <n v="0"/>
    <n v="1"/>
    <n v="0"/>
    <n v="1"/>
    <x v="2"/>
    <n v="0"/>
    <n v="83"/>
    <n v="0"/>
    <n v="45"/>
    <n v="128"/>
    <n v="0"/>
    <n v="83"/>
    <n v="0"/>
    <n v="45"/>
    <n v="128"/>
  </r>
  <r>
    <s v="University of Florida"/>
    <n v="0"/>
    <n v="1"/>
    <n v="0"/>
    <n v="1"/>
    <x v="2"/>
    <n v="0"/>
    <n v="94"/>
    <n v="0"/>
    <n v="34"/>
    <n v="128"/>
    <n v="0"/>
    <n v="94"/>
    <n v="0"/>
    <n v="34"/>
    <n v="128"/>
  </r>
  <r>
    <s v="Carnegie Mellon University"/>
    <n v="1"/>
    <n v="0"/>
    <n v="1"/>
    <n v="1"/>
    <x v="3"/>
    <n v="28"/>
    <n v="0"/>
    <n v="52"/>
    <n v="49"/>
    <n v="129"/>
    <n v="28"/>
    <n v="0"/>
    <n v="52"/>
    <n v="49"/>
    <n v="129"/>
  </r>
  <r>
    <s v="University of Washington"/>
    <n v="1"/>
    <n v="1"/>
    <n v="1"/>
    <n v="1"/>
    <x v="0"/>
    <n v="26"/>
    <n v="17"/>
    <n v="80"/>
    <n v="7"/>
    <n v="130"/>
    <n v="27"/>
    <n v="17"/>
    <n v="80"/>
    <n v="7"/>
    <n v="131"/>
  </r>
  <r>
    <s v="KAIST - Korea Advanced Institute of Science &amp; Technology"/>
    <n v="1"/>
    <n v="0"/>
    <n v="1"/>
    <n v="0"/>
    <x v="2"/>
    <n v="91"/>
    <n v="0"/>
    <n v="42"/>
    <n v="0"/>
    <n v="133"/>
    <n v="92"/>
    <n v="0"/>
    <n v="42"/>
    <n v="0"/>
    <n v="134"/>
  </r>
  <r>
    <s v="Technical University of Munich"/>
    <n v="1"/>
    <n v="1"/>
    <n v="1"/>
    <n v="0"/>
    <x v="3"/>
    <n v="30"/>
    <n v="56"/>
    <n v="49"/>
    <n v="0"/>
    <n v="135"/>
    <n v="30"/>
    <n v="56"/>
    <n v="49"/>
    <n v="0"/>
    <n v="135"/>
  </r>
  <r>
    <s v="University of Melbourne"/>
    <n v="1"/>
    <n v="1"/>
    <n v="1"/>
    <n v="1"/>
    <x v="0"/>
    <n v="34"/>
    <n v="32"/>
    <n v="33"/>
    <n v="40"/>
    <n v="139"/>
    <n v="34"/>
    <n v="32"/>
    <n v="33"/>
    <n v="40"/>
    <n v="139"/>
  </r>
  <r>
    <s v="Institut Polytechnique de Paris"/>
    <n v="1"/>
    <n v="0"/>
    <n v="1"/>
    <n v="0"/>
    <x v="2"/>
    <n v="95"/>
    <n v="0"/>
    <n v="48"/>
    <n v="0"/>
    <n v="143"/>
    <n v="96"/>
    <n v="0"/>
    <n v="48"/>
    <n v="0"/>
    <n v="144"/>
  </r>
  <r>
    <s v="Hong Kong Polytechnic University"/>
    <n v="1"/>
    <n v="0"/>
    <n v="1"/>
    <n v="0"/>
    <x v="2"/>
    <n v="79"/>
    <n v="0"/>
    <n v="65"/>
    <n v="0"/>
    <n v="144"/>
    <n v="79"/>
    <n v="0"/>
    <n v="66"/>
    <n v="0"/>
    <n v="145"/>
  </r>
  <r>
    <s v="Kyoto University"/>
    <n v="1"/>
    <n v="1"/>
    <n v="1"/>
    <n v="0"/>
    <x v="3"/>
    <n v="68"/>
    <n v="41"/>
    <n v="36"/>
    <n v="0"/>
    <n v="145"/>
    <n v="68"/>
    <n v="42"/>
    <n v="36"/>
    <n v="0"/>
    <n v="146"/>
  </r>
  <r>
    <s v="École Polytechnique Fédérale de Lausanne"/>
    <n v="1"/>
    <n v="0"/>
    <n v="1"/>
    <n v="1"/>
    <x v="3"/>
    <n v="41"/>
    <n v="0"/>
    <n v="16"/>
    <n v="90"/>
    <n v="147"/>
    <n v="41"/>
    <n v="0"/>
    <n v="16"/>
    <n v="90"/>
    <n v="147"/>
  </r>
  <r>
    <s v="National University of Singapore"/>
    <n v="1"/>
    <n v="1"/>
    <n v="1"/>
    <n v="1"/>
    <x v="0"/>
    <n v="19"/>
    <n v="71"/>
    <n v="11"/>
    <n v="47"/>
    <n v="148"/>
    <n v="19"/>
    <n v="71"/>
    <n v="11"/>
    <n v="47"/>
    <n v="148"/>
  </r>
  <r>
    <s v="University of Southern California"/>
    <n v="1"/>
    <n v="1"/>
    <n v="0"/>
    <n v="1"/>
    <x v="3"/>
    <n v="65"/>
    <n v="53"/>
    <n v="0"/>
    <n v="31"/>
    <n v="149"/>
    <n v="65"/>
    <n v="53"/>
    <n v="0"/>
    <n v="31"/>
    <n v="149"/>
  </r>
  <r>
    <s v="Yonsei University"/>
    <n v="1"/>
    <n v="0"/>
    <n v="1"/>
    <n v="0"/>
    <x v="2"/>
    <n v="78"/>
    <n v="0"/>
    <n v="73"/>
    <n v="0"/>
    <n v="151"/>
    <n v="78"/>
    <n v="0"/>
    <n v="73"/>
    <n v="0"/>
    <n v="151"/>
  </r>
  <r>
    <s v="University of Tokyo"/>
    <n v="1"/>
    <n v="1"/>
    <n v="1"/>
    <n v="1"/>
    <x v="0"/>
    <n v="39"/>
    <n v="24"/>
    <n v="23"/>
    <n v="66"/>
    <n v="152"/>
    <n v="39"/>
    <n v="24"/>
    <n v="23"/>
    <n v="66"/>
    <n v="152"/>
  </r>
  <r>
    <s v="Fudan University"/>
    <n v="1"/>
    <n v="1"/>
    <n v="1"/>
    <n v="0"/>
    <x v="3"/>
    <n v="51"/>
    <n v="67"/>
    <n v="34"/>
    <n v="0"/>
    <n v="152"/>
    <n v="51"/>
    <n v="67"/>
    <n v="34"/>
    <n v="0"/>
    <n v="152"/>
  </r>
  <r>
    <s v="Emory University"/>
    <n v="1"/>
    <n v="0"/>
    <n v="0"/>
    <n v="1"/>
    <x v="2"/>
    <n v="82"/>
    <n v="0"/>
    <n v="0"/>
    <n v="72"/>
    <n v="154"/>
    <n v="82"/>
    <n v="0"/>
    <n v="0"/>
    <n v="72"/>
    <n v="154"/>
  </r>
  <r>
    <s v="University of British Columbia"/>
    <n v="1"/>
    <n v="1"/>
    <n v="1"/>
    <n v="1"/>
    <x v="0"/>
    <n v="40"/>
    <n v="44"/>
    <n v="47"/>
    <n v="27"/>
    <n v="158"/>
    <n v="40"/>
    <n v="45"/>
    <n v="47"/>
    <n v="27"/>
    <n v="159"/>
  </r>
  <r>
    <s v="University of Alberta"/>
    <n v="0"/>
    <n v="1"/>
    <n v="0"/>
    <n v="1"/>
    <x v="2"/>
    <n v="0"/>
    <n v="92"/>
    <n v="0"/>
    <n v="71"/>
    <n v="163"/>
    <n v="0"/>
    <n v="92"/>
    <n v="0"/>
    <n v="71"/>
    <n v="163"/>
  </r>
  <r>
    <s v="Chinese University of Hong Kong"/>
    <n v="1"/>
    <n v="0"/>
    <n v="1"/>
    <n v="1"/>
    <x v="3"/>
    <n v="45"/>
    <n v="0"/>
    <n v="38"/>
    <n v="81"/>
    <n v="164"/>
    <n v="45"/>
    <n v="0"/>
    <n v="38"/>
    <n v="81"/>
    <n v="164"/>
  </r>
  <r>
    <s v="University of Glasgow"/>
    <n v="1"/>
    <n v="0"/>
    <n v="1"/>
    <n v="0"/>
    <x v="2"/>
    <n v="82"/>
    <n v="0"/>
    <n v="81"/>
    <n v="0"/>
    <n v="163"/>
    <n v="83"/>
    <n v="0"/>
    <n v="81"/>
    <n v="0"/>
    <n v="164"/>
  </r>
  <r>
    <s v="University of Oslo"/>
    <n v="0"/>
    <n v="1"/>
    <n v="0"/>
    <n v="1"/>
    <x v="2"/>
    <n v="0"/>
    <n v="67"/>
    <n v="0"/>
    <n v="97"/>
    <n v="164"/>
    <n v="0"/>
    <n v="68"/>
    <n v="0"/>
    <n v="97"/>
    <n v="165"/>
  </r>
  <r>
    <s v="University of Bonn"/>
    <n v="1"/>
    <n v="1"/>
    <n v="0"/>
    <n v="0"/>
    <x v="2"/>
    <n v="89"/>
    <n v="76"/>
    <n v="0"/>
    <n v="0"/>
    <n v="165"/>
    <n v="89"/>
    <n v="76"/>
    <n v="0"/>
    <n v="0"/>
    <n v="165"/>
  </r>
  <r>
    <s v="Erasmus University Rotterdam"/>
    <n v="1"/>
    <n v="1"/>
    <n v="0"/>
    <n v="0"/>
    <x v="2"/>
    <n v="80"/>
    <n v="87"/>
    <n v="0"/>
    <n v="0"/>
    <n v="167"/>
    <n v="80"/>
    <n v="87"/>
    <n v="0"/>
    <n v="0"/>
    <n v="167"/>
  </r>
  <r>
    <s v="University of Leeds"/>
    <n v="0"/>
    <n v="0"/>
    <n v="1"/>
    <n v="1"/>
    <x v="2"/>
    <n v="0"/>
    <n v="0"/>
    <n v="86"/>
    <n v="88"/>
    <n v="174"/>
    <n v="0"/>
    <n v="0"/>
    <n v="86"/>
    <n v="88"/>
    <n v="174"/>
  </r>
  <r>
    <s v="McMaster University"/>
    <n v="1"/>
    <n v="1"/>
    <n v="0"/>
    <n v="0"/>
    <x v="2"/>
    <n v="85"/>
    <n v="90"/>
    <n v="0"/>
    <n v="0"/>
    <n v="175"/>
    <n v="85"/>
    <n v="90"/>
    <n v="0"/>
    <n v="0"/>
    <n v="175"/>
  </r>
  <r>
    <s v="Université Paris-Saclay"/>
    <n v="1"/>
    <n v="1"/>
    <n v="1"/>
    <n v="0"/>
    <x v="3"/>
    <n v="93"/>
    <n v="16"/>
    <n v="69"/>
    <n v="0"/>
    <n v="178"/>
    <n v="93"/>
    <n v="16"/>
    <n v="69"/>
    <n v="0"/>
    <n v="178"/>
  </r>
  <r>
    <s v="University of Manchester"/>
    <n v="1"/>
    <n v="1"/>
    <n v="1"/>
    <n v="1"/>
    <x v="0"/>
    <n v="54"/>
    <n v="38"/>
    <n v="28"/>
    <n v="61"/>
    <n v="181"/>
    <n v="54"/>
    <n v="38"/>
    <n v="28"/>
    <n v="61"/>
    <n v="181"/>
  </r>
  <r>
    <s v="University of Texas at Austin"/>
    <n v="1"/>
    <n v="1"/>
    <n v="1"/>
    <n v="1"/>
    <x v="0"/>
    <n v="50"/>
    <n v="37"/>
    <n v="72"/>
    <n v="25"/>
    <n v="184"/>
    <n v="50"/>
    <n v="37"/>
    <n v="72"/>
    <n v="25"/>
    <n v="184"/>
  </r>
  <r>
    <s v="Utrecht University"/>
    <n v="1"/>
    <n v="1"/>
    <n v="0"/>
    <n v="1"/>
    <x v="3"/>
    <n v="66"/>
    <n v="54"/>
    <n v="0"/>
    <n v="65"/>
    <n v="185"/>
    <n v="66"/>
    <n v="55"/>
    <n v="0"/>
    <n v="65"/>
    <n v="186"/>
  </r>
  <r>
    <s v="University of Helsinki"/>
    <n v="0"/>
    <n v="1"/>
    <n v="0"/>
    <n v="1"/>
    <x v="2"/>
    <n v="0"/>
    <n v="92"/>
    <n v="0"/>
    <n v="93"/>
    <n v="185"/>
    <n v="0"/>
    <n v="93"/>
    <n v="0"/>
    <n v="93"/>
    <n v="186"/>
  </r>
  <r>
    <s v="University of Adelaide"/>
    <n v="1"/>
    <n v="0"/>
    <n v="0"/>
    <n v="1"/>
    <x v="2"/>
    <n v="88"/>
    <n v="0"/>
    <n v="0"/>
    <n v="99"/>
    <n v="187"/>
    <n v="88"/>
    <n v="0"/>
    <n v="0"/>
    <n v="99"/>
    <n v="187"/>
  </r>
  <r>
    <s v="King’s College London"/>
    <n v="1"/>
    <n v="1"/>
    <n v="1"/>
    <n v="1"/>
    <x v="0"/>
    <n v="35"/>
    <n v="48"/>
    <n v="37"/>
    <n v="67"/>
    <n v="187"/>
    <n v="35"/>
    <n v="48"/>
    <n v="37"/>
    <n v="67"/>
    <n v="187"/>
  </r>
  <r>
    <s v="Georgia Institute of Technology"/>
    <n v="1"/>
    <n v="0"/>
    <n v="1"/>
    <n v="1"/>
    <x v="3"/>
    <n v="38"/>
    <n v="0"/>
    <n v="88"/>
    <n v="62"/>
    <n v="188"/>
    <n v="38"/>
    <n v="0"/>
    <n v="88"/>
    <n v="62"/>
    <n v="188"/>
  </r>
  <r>
    <s v="The University of Western Australia"/>
    <n v="0"/>
    <n v="1"/>
    <n v="1"/>
    <n v="0"/>
    <x v="2"/>
    <n v="0"/>
    <n v="99"/>
    <n v="90"/>
    <n v="0"/>
    <n v="189"/>
    <n v="0"/>
    <n v="100"/>
    <n v="90"/>
    <n v="0"/>
    <n v="190"/>
  </r>
  <r>
    <s v="University of Amsterdam"/>
    <n v="1"/>
    <n v="0"/>
    <n v="1"/>
    <n v="1"/>
    <x v="3"/>
    <n v="60"/>
    <n v="0"/>
    <n v="58"/>
    <n v="73"/>
    <n v="191"/>
    <n v="60"/>
    <n v="0"/>
    <n v="58"/>
    <n v="73"/>
    <n v="191"/>
  </r>
  <r>
    <s v="Sorbonne University"/>
    <n v="1"/>
    <n v="1"/>
    <n v="1"/>
    <n v="0"/>
    <x v="3"/>
    <n v="90"/>
    <n v="43"/>
    <n v="60"/>
    <n v="0"/>
    <n v="193"/>
    <n v="90"/>
    <n v="43"/>
    <n v="60"/>
    <n v="0"/>
    <n v="193"/>
  </r>
  <r>
    <s v="University of California Irvine"/>
    <n v="1"/>
    <n v="1"/>
    <n v="0"/>
    <n v="1"/>
    <x v="3"/>
    <n v="95"/>
    <n v="61"/>
    <n v="0"/>
    <n v="38"/>
    <n v="194"/>
    <n v="95"/>
    <n v="61"/>
    <n v="0"/>
    <n v="38"/>
    <n v="194"/>
  </r>
  <r>
    <s v="University of Copenhagen"/>
    <n v="0"/>
    <n v="1"/>
    <n v="1"/>
    <n v="1"/>
    <x v="3"/>
    <n v="0"/>
    <n v="39"/>
    <n v="82"/>
    <n v="74"/>
    <n v="195"/>
    <n v="0"/>
    <n v="39"/>
    <n v="82"/>
    <n v="74"/>
    <n v="195"/>
  </r>
  <r>
    <s v="University of California Santa Barbara"/>
    <n v="1"/>
    <n v="1"/>
    <n v="0"/>
    <n v="1"/>
    <x v="3"/>
    <n v="64"/>
    <n v="57"/>
    <n v="0"/>
    <n v="76"/>
    <n v="197"/>
    <n v="64"/>
    <n v="57"/>
    <n v="0"/>
    <n v="76"/>
    <n v="197"/>
  </r>
  <r>
    <s v="University of Queensland"/>
    <n v="1"/>
    <n v="1"/>
    <n v="1"/>
    <n v="1"/>
    <x v="0"/>
    <n v="53"/>
    <n v="47"/>
    <n v="50"/>
    <n v="52"/>
    <n v="202"/>
    <n v="53"/>
    <n v="47"/>
    <n v="51"/>
    <n v="52"/>
    <n v="203"/>
  </r>
  <r>
    <s v="University of Sydney"/>
    <n v="1"/>
    <n v="1"/>
    <n v="1"/>
    <n v="1"/>
    <x v="0"/>
    <n v="54"/>
    <n v="60"/>
    <n v="41"/>
    <n v="50"/>
    <n v="205"/>
    <n v="55"/>
    <n v="60"/>
    <n v="41"/>
    <n v="50"/>
    <n v="206"/>
  </r>
  <r>
    <s v="McGill University"/>
    <n v="1"/>
    <n v="1"/>
    <n v="1"/>
    <n v="1"/>
    <x v="0"/>
    <n v="46"/>
    <n v="73"/>
    <n v="31"/>
    <n v="60"/>
    <n v="210"/>
    <n v="46"/>
    <n v="73"/>
    <n v="31"/>
    <n v="60"/>
    <n v="210"/>
  </r>
  <r>
    <s v="KU Leuven"/>
    <n v="1"/>
    <n v="1"/>
    <n v="1"/>
    <n v="0"/>
    <x v="3"/>
    <n v="42"/>
    <n v="95"/>
    <n v="76"/>
    <n v="0"/>
    <n v="213"/>
    <n v="42"/>
    <n v="95"/>
    <n v="76"/>
    <n v="0"/>
    <n v="213"/>
  </r>
  <r>
    <s v="Zhejiang University"/>
    <n v="1"/>
    <n v="1"/>
    <n v="1"/>
    <n v="1"/>
    <x v="0"/>
    <n v="67"/>
    <n v="36"/>
    <n v="42"/>
    <n v="68"/>
    <n v="213"/>
    <n v="67"/>
    <n v="36"/>
    <n v="43"/>
    <n v="68"/>
    <n v="214"/>
  </r>
  <r>
    <s v="University of Illinois at Urbana-Champaign"/>
    <n v="1"/>
    <n v="1"/>
    <n v="1"/>
    <n v="1"/>
    <x v="0"/>
    <n v="48"/>
    <n v="49"/>
    <n v="85"/>
    <n v="33"/>
    <n v="215"/>
    <n v="48"/>
    <n v="49"/>
    <n v="85"/>
    <n v="33"/>
    <n v="215"/>
  </r>
  <r>
    <s v="University of Wisconsin-Madison"/>
    <n v="1"/>
    <n v="1"/>
    <n v="1"/>
    <n v="1"/>
    <x v="0"/>
    <n v="81"/>
    <n v="33"/>
    <n v="83"/>
    <n v="20"/>
    <n v="217"/>
    <n v="81"/>
    <n v="33"/>
    <n v="83"/>
    <n v="20"/>
    <n v="217"/>
  </r>
  <r>
    <s v="University of Bristol"/>
    <n v="1"/>
    <n v="1"/>
    <n v="1"/>
    <n v="0"/>
    <x v="3"/>
    <n v="76"/>
    <n v="81"/>
    <n v="61"/>
    <n v="0"/>
    <n v="218"/>
    <n v="76"/>
    <n v="81"/>
    <n v="62"/>
    <n v="0"/>
    <n v="219"/>
  </r>
  <r>
    <s v="Shanghai Jiao Tong University"/>
    <n v="1"/>
    <n v="1"/>
    <n v="1"/>
    <n v="1"/>
    <x v="0"/>
    <n v="52"/>
    <n v="54"/>
    <n v="46"/>
    <n v="69"/>
    <n v="221"/>
    <n v="52"/>
    <n v="54"/>
    <n v="46"/>
    <n v="69"/>
    <n v="221"/>
  </r>
  <r>
    <s v="Vanderbilt University"/>
    <n v="1"/>
    <n v="1"/>
    <n v="0"/>
    <n v="1"/>
    <x v="3"/>
    <n v="98"/>
    <n v="64"/>
    <n v="0"/>
    <n v="58"/>
    <n v="220"/>
    <n v="98"/>
    <n v="65"/>
    <n v="0"/>
    <n v="58"/>
    <n v="221"/>
  </r>
  <r>
    <s v="University of New South Wales"/>
    <n v="1"/>
    <n v="1"/>
    <n v="1"/>
    <n v="1"/>
    <x v="0"/>
    <n v="71"/>
    <n v="64"/>
    <n v="45"/>
    <n v="41"/>
    <n v="221"/>
    <n v="72"/>
    <n v="64"/>
    <n v="45"/>
    <n v="41"/>
    <n v="222"/>
  </r>
  <r>
    <s v="University of Hong Kong"/>
    <n v="1"/>
    <n v="1"/>
    <n v="1"/>
    <n v="1"/>
    <x v="0"/>
    <n v="31"/>
    <n v="96"/>
    <n v="21"/>
    <n v="75"/>
    <n v="223"/>
    <n v="31"/>
    <n v="97"/>
    <n v="21"/>
    <n v="75"/>
    <n v="224"/>
  </r>
  <r>
    <s v="Delft University of Technology"/>
    <n v="1"/>
    <n v="0"/>
    <n v="1"/>
    <n v="1"/>
    <x v="3"/>
    <n v="70"/>
    <n v="0"/>
    <n v="61"/>
    <n v="94"/>
    <n v="225"/>
    <n v="70"/>
    <n v="0"/>
    <n v="61"/>
    <n v="94"/>
    <n v="225"/>
  </r>
  <r>
    <s v="University of Groningen"/>
    <n v="1"/>
    <n v="1"/>
    <n v="0"/>
    <n v="1"/>
    <x v="3"/>
    <n v="75"/>
    <n v="66"/>
    <n v="0"/>
    <n v="84"/>
    <n v="225"/>
    <n v="75"/>
    <n v="66"/>
    <n v="0"/>
    <n v="84"/>
    <n v="225"/>
  </r>
  <r>
    <s v="Nanyang Technological University"/>
    <n v="1"/>
    <n v="1"/>
    <n v="1"/>
    <n v="1"/>
    <x v="0"/>
    <n v="36"/>
    <n v="88"/>
    <n v="19"/>
    <n v="87"/>
    <n v="230"/>
    <n v="36"/>
    <n v="88"/>
    <n v="19"/>
    <n v="87"/>
    <n v="230"/>
  </r>
  <r>
    <s v="Monash University"/>
    <n v="1"/>
    <n v="1"/>
    <n v="1"/>
    <n v="1"/>
    <x v="0"/>
    <n v="44"/>
    <n v="75"/>
    <n v="57"/>
    <n v="57"/>
    <n v="233"/>
    <n v="44"/>
    <n v="75"/>
    <n v="57"/>
    <n v="57"/>
    <n v="233"/>
  </r>
  <r>
    <s v="City University of Hong Kong"/>
    <n v="1"/>
    <n v="0"/>
    <n v="1"/>
    <n v="1"/>
    <x v="3"/>
    <n v="99"/>
    <n v="0"/>
    <n v="54"/>
    <n v="89"/>
    <n v="242"/>
    <n v="99"/>
    <n v="0"/>
    <n v="54"/>
    <n v="89"/>
    <n v="242"/>
  </r>
  <r>
    <s v="Australian National University"/>
    <n v="1"/>
    <n v="1"/>
    <n v="1"/>
    <n v="1"/>
    <x v="0"/>
    <n v="62"/>
    <n v="79"/>
    <n v="30"/>
    <n v="79"/>
    <n v="250"/>
    <n v="62"/>
    <n v="80"/>
    <n v="30"/>
    <n v="79"/>
    <n v="251"/>
  </r>
  <r>
    <s v="Seoul National University"/>
    <n v="1"/>
    <n v="1"/>
    <n v="1"/>
    <n v="1"/>
    <x v="0"/>
    <n v="56"/>
    <n v="98"/>
    <n v="29"/>
    <n v="96"/>
    <n v="279"/>
    <n v="56"/>
    <n v="98"/>
    <n v="29"/>
    <n v="96"/>
    <n v="279"/>
  </r>
  <r>
    <s v="Brown University"/>
    <n v="1"/>
    <n v="1"/>
    <n v="1"/>
    <n v="1"/>
    <x v="0"/>
    <n v="61"/>
    <n v="99"/>
    <n v="63"/>
    <n v="80"/>
    <n v="303"/>
    <n v="61"/>
    <n v="99"/>
    <n v="63"/>
    <n v="80"/>
    <n v="303"/>
  </r>
  <r>
    <s v="University of Zurich"/>
    <n v="1"/>
    <n v="1"/>
    <n v="1"/>
    <n v="1"/>
    <x v="0"/>
    <n v="82"/>
    <n v="59"/>
    <n v="83"/>
    <n v="92"/>
    <n v="316"/>
    <n v="84"/>
    <n v="59"/>
    <n v="84"/>
    <n v="92"/>
    <n v="319"/>
  </r>
  <r>
    <s v="University of Science and Technology of China"/>
    <n v="1"/>
    <n v="1"/>
    <n v="1"/>
    <n v="1"/>
    <x v="0"/>
    <n v="74"/>
    <n v="62"/>
    <n v="94"/>
    <n v="95"/>
    <n v="325"/>
    <n v="74"/>
    <n v="63"/>
    <n v="94"/>
    <n v="95"/>
    <n v="32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5724247-5D92-41F4-BA0F-8C4AF0117E55}" name="Tabela przestawna1" cacheId="0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K2:AP7" firstHeaderRow="0" firstDataRow="1" firstDataCol="1"/>
  <pivotFields count="16">
    <pivotField dataField="1" showAll="0"/>
    <pivotField dataField="1" showAll="0"/>
    <pivotField dataField="1" showAll="0"/>
    <pivotField dataField="1" showAll="0"/>
    <pivotField dataField="1" showAll="0"/>
    <pivotField axis="axisRow" showAll="0">
      <items count="5">
        <item x="1"/>
        <item x="2"/>
        <item x="3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Liczba z Nazwa uczelni" fld="0" subtotal="count" baseField="0" baseItem="0"/>
    <dataField name="Suma z Webometrics" fld="4" baseField="0" baseItem="0"/>
    <dataField name="Suma z QS" fld="3" baseField="0" baseItem="0"/>
    <dataField name="Suma z ARWU" fld="2" baseField="0" baseItem="0"/>
    <dataField name="Suma z THE" fld="1" baseField="0" baseItem="0"/>
  </dataFields>
  <formats count="2">
    <format dxfId="276">
      <pivotArea field="5" type="button" dataOnly="0" labelOnly="1" outline="0" axis="axisRow" fieldPosition="0"/>
    </format>
    <format dxfId="275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1C00BE3-91E0-4787-A5E9-8872D01E75C2}" name="StandardName" displayName="StandardName" ref="I2:M402" totalsRowShown="0" headerRowDxfId="274">
  <autoFilter ref="I2:M402" xr:uid="{61C00BE3-91E0-4787-A5E9-8872D01E75C2}"/>
  <sortState xmlns:xlrd2="http://schemas.microsoft.com/office/spreadsheetml/2017/richdata2" ref="I303:M402">
    <sortCondition ref="J2:J402"/>
  </sortState>
  <tableColumns count="5">
    <tableColumn id="2" xr3:uid="{4D62A9F5-8193-4901-A760-9C64D4CBB018}" name="Name"/>
    <tableColumn id="1" xr3:uid="{1EE94A21-EAB9-4AF4-B6AA-96C094057E74}" name="IDinTheRanking"/>
    <tableColumn id="4" xr3:uid="{8055EB4A-B76D-4473-B030-5FF2B49C416E}" name="StandardizedName"/>
    <tableColumn id="5" xr3:uid="{96C8B3E2-1223-4563-BB7B-844AC64F6345}" name="RankValueInTheRanking"/>
    <tableColumn id="3" xr3:uid="{5FDA7E10-154B-45AB-AE49-FD95CD713508}" name="Ranking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22D475E3-8D37-4AFF-9AF2-852CE70FBF17}" name="ARWU_RV1000" displayName="ARWU_RV1000" ref="O780:AC880" totalsRowShown="0" headerRowDxfId="96" dataDxfId="94" headerRowBorderDxfId="95" tableBorderDxfId="93" totalsRowBorderDxfId="92">
  <autoFilter ref="O780:AC880" xr:uid="{22D475E3-8D37-4AFF-9AF2-852CE70FBF17}"/>
  <tableColumns count="15">
    <tableColumn id="1" xr3:uid="{D93607B4-E179-4B21-9034-60F08F3C1721}" name="Nazwa uczelni" dataDxfId="91"/>
    <tableColumn id="2" xr3:uid="{9AF924B2-08E3-4AC8-A5EC-443ACCA1E285}" name="THE" dataDxfId="90"/>
    <tableColumn id="3" xr3:uid="{A1ADE346-A9B4-4AAF-933C-EF9659F9F7F5}" name="ARWU" dataDxfId="89"/>
    <tableColumn id="4" xr3:uid="{DB7D38AC-51C7-45A4-98C7-80B2FE3D6202}" name="QS" dataDxfId="88"/>
    <tableColumn id="5" xr3:uid="{DFF35E52-320A-4B02-85FD-6CF57CFBE3E2}" name="Webometrics" dataDxfId="87"/>
    <tableColumn id="6" xr3:uid="{AD2E702B-C78A-4BFC-9881-41D5F7D98FFC}" name="LiczbaWystąpień" dataDxfId="86"/>
    <tableColumn id="7" xr3:uid="{6E36079A-08C4-4F41-B178-25C47BB98CE6}" name="THE_RV1000" dataDxfId="85">
      <calculatedColumnFormula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calculatedColumnFormula>
    </tableColumn>
    <tableColumn id="8" xr3:uid="{D512258F-90EE-4962-8104-EA71B6831A60}" name="ARWU_RV1000" dataDxfId="84">
      <calculatedColumnFormula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calculatedColumnFormula>
    </tableColumn>
    <tableColumn id="9" xr3:uid="{D73FA52E-C63B-4A29-BB18-27669035F665}" name="QS_RV1000" dataDxfId="83">
      <calculatedColumnFormula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calculatedColumnFormula>
    </tableColumn>
    <tableColumn id="10" xr3:uid="{12F96B95-5447-4421-AFD1-41C3CBAEDCA9}" name="Webometrics_RV1000" dataDxfId="82">
      <calculatedColumnFormula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calculatedColumnFormula>
    </tableColumn>
    <tableColumn id="11" xr3:uid="{EE197349-A57E-48D2-9F95-8DAD6737097B}" name="WartośćKontrolna" dataDxfId="81">
      <calculatedColumnFormula>SUM(ARWU_RV1000[[#This Row],[THE_RV1000]:[Webometrics_RV1000]])</calculatedColumnFormula>
    </tableColumn>
    <tableColumn id="12" xr3:uid="{D0C5055D-F861-429B-AE0E-B1FCE0DD9599}" name="THE_RV" dataDxfId="80"/>
    <tableColumn id="13" xr3:uid="{3EE7C7B6-86F1-47E5-89C0-59F9C7F3FE62}" name="ARWU_RV" dataDxfId="79"/>
    <tableColumn id="14" xr3:uid="{EB1BD50D-0E63-488F-83B5-CE9FD4C9F4BC}" name="QS_RV" dataDxfId="78"/>
    <tableColumn id="15" xr3:uid="{2CA6BFB8-FF57-4581-ACC8-3DEF3F896CC0}" name="Webometrics_RV" dataDxfId="77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98F00946-812B-4F98-8C3B-90A885768C6D}" name="QS_RV1000" displayName="QS_RV1000" ref="O883:AC983" totalsRowShown="0" headerRowDxfId="76" dataDxfId="74" headerRowBorderDxfId="75" tableBorderDxfId="73" totalsRowBorderDxfId="72">
  <autoFilter ref="O883:AC983" xr:uid="{98F00946-812B-4F98-8C3B-90A885768C6D}"/>
  <tableColumns count="15">
    <tableColumn id="1" xr3:uid="{10C4DAE2-4C59-42B5-90B3-A7312D2AF7EB}" name="Nazwa uczelni" dataDxfId="71"/>
    <tableColumn id="2" xr3:uid="{8D65CF81-FFDB-4C3B-8329-BA66FD12CEE1}" name="THE" dataDxfId="70"/>
    <tableColumn id="3" xr3:uid="{F2B31DF8-3759-442A-9B9E-AF24AC86FB4C}" name="ARWU" dataDxfId="69"/>
    <tableColumn id="4" xr3:uid="{0E875B1D-47B3-4054-9D09-D990AA5A0350}" name="QS" dataDxfId="68"/>
    <tableColumn id="5" xr3:uid="{526AA1C2-0C9B-4832-A6D2-FAFEAC033FA0}" name="Webometrics" dataDxfId="67"/>
    <tableColumn id="6" xr3:uid="{E4F59897-A473-4BC1-A444-915970F53A75}" name="LiczbaWystąpień" dataDxfId="66"/>
    <tableColumn id="7" xr3:uid="{C3F102F0-3B84-41F9-A5EA-512ED969A44B}" name="THE_RV1000" dataDxfId="65">
      <calculatedColumnFormula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calculatedColumnFormula>
    </tableColumn>
    <tableColumn id="8" xr3:uid="{591DE389-E6F9-4A7A-8303-605C2AAB8445}" name="ARWU_RV1000" dataDxfId="64">
      <calculatedColumnFormula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calculatedColumnFormula>
    </tableColumn>
    <tableColumn id="9" xr3:uid="{D79BE624-FD05-40F7-B4E4-BE3E043C80D5}" name="QS_RV1000" dataDxfId="63">
      <calculatedColumnFormula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calculatedColumnFormula>
    </tableColumn>
    <tableColumn id="10" xr3:uid="{023C4A09-ED01-4008-BB5B-A2849D9298FB}" name="Webometrics_RV1000" dataDxfId="62">
      <calculatedColumnFormula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calculatedColumnFormula>
    </tableColumn>
    <tableColumn id="11" xr3:uid="{423EB63F-CF73-407F-8838-3A6F437AC686}" name="WartośćKontrolna" dataDxfId="61">
      <calculatedColumnFormula>SUM(QS_RV1000[[#This Row],[THE_RV1000]:[Webometrics_RV1000]])</calculatedColumnFormula>
    </tableColumn>
    <tableColumn id="12" xr3:uid="{23D02894-D7D8-42DB-ADBB-F5FA52ED3349}" name="THE_RV" dataDxfId="60"/>
    <tableColumn id="13" xr3:uid="{C65C1479-9FA4-49EB-9B11-FEED0047077F}" name="ARWU_RV" dataDxfId="59"/>
    <tableColumn id="14" xr3:uid="{3613AA05-CEF8-4FA9-95DF-A1C1E97CBE48}" name="QS_RV" dataDxfId="58"/>
    <tableColumn id="15" xr3:uid="{9F577D88-B1F7-4E68-A4B9-C393A967345A}" name="Webometrics_RV" dataDxfId="57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F8D3DB2B-35FD-499D-A601-412E2AB31F05}" name="Webometrics_RV1000" displayName="Webometrics_RV1000" ref="O986:AC1086" totalsRowShown="0" headerRowDxfId="56" dataDxfId="54" headerRowBorderDxfId="55" tableBorderDxfId="53" totalsRowBorderDxfId="52">
  <autoFilter ref="O986:AC1086" xr:uid="{F8D3DB2B-35FD-499D-A601-412E2AB31F05}"/>
  <tableColumns count="15">
    <tableColumn id="1" xr3:uid="{6FB9D990-310A-4E0E-AA26-C3BF752E9640}" name="Nazwa uczelni" dataDxfId="51"/>
    <tableColumn id="2" xr3:uid="{8BE9844A-BC0F-4279-973C-CAFED814E830}" name="THE" dataDxfId="50"/>
    <tableColumn id="3" xr3:uid="{723A7E67-D7F3-4C00-93D3-AB340764A2D2}" name="ARWU" dataDxfId="49"/>
    <tableColumn id="4" xr3:uid="{22494E73-3893-48AA-99E9-1EE7BB6D5B71}" name="QS" dataDxfId="48"/>
    <tableColumn id="5" xr3:uid="{D7281FA8-3E06-4405-B82B-FD33EFE5D37E}" name="Webometrics" dataDxfId="47"/>
    <tableColumn id="6" xr3:uid="{096F5D00-B7F4-4789-8AF1-5FE052AF613E}" name="LiczbaWystąpień" dataDxfId="46"/>
    <tableColumn id="7" xr3:uid="{4E95E88D-244C-41A1-892D-C468A83E3F23}" name="THE_RV1000" dataDxfId="45">
      <calculatedColumnFormula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calculatedColumnFormula>
    </tableColumn>
    <tableColumn id="8" xr3:uid="{6610489C-FF9D-4CFF-8E2A-97E49836DF1B}" name="ARWU_RV1000" dataDxfId="44">
      <calculatedColumnFormula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calculatedColumnFormula>
    </tableColumn>
    <tableColumn id="9" xr3:uid="{957303E1-B7BE-451E-83D8-593A085864EF}" name="QS_RV1000" dataDxfId="43">
      <calculatedColumnFormula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calculatedColumnFormula>
    </tableColumn>
    <tableColumn id="10" xr3:uid="{C078F431-7940-4F84-885B-DA2CB11F9B64}" name="Webometrics_RV1000" dataDxfId="42">
      <calculatedColumnFormula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calculatedColumnFormula>
    </tableColumn>
    <tableColumn id="11" xr3:uid="{6E35A803-F75D-4554-99E1-08B123A3A77C}" name="WartośćKontrolna" dataDxfId="41">
      <calculatedColumnFormula>SUM(Webometrics_RV1000[[#This Row],[THE_RV1000]:[Webometrics_RV1000]])</calculatedColumnFormula>
    </tableColumn>
    <tableColumn id="12" xr3:uid="{1DA86A89-D00A-4100-BD7D-2B616A721953}" name="THE_RV" dataDxfId="40"/>
    <tableColumn id="13" xr3:uid="{70645630-2349-41AF-87E0-8247C3F9A989}" name="ARWU_RV" dataDxfId="39"/>
    <tableColumn id="14" xr3:uid="{E70FD0C7-5E81-471D-8261-40FA4E702787}" name="QS_RV" dataDxfId="38"/>
    <tableColumn id="15" xr3:uid="{4CAF7DB6-825D-4D9B-AA24-C992E93BCF2A}" name="Webometrics_RV" dataDxfId="37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1" xr:uid="{598E8CE4-2D7C-42C3-8DCD-23EAA3A01F40}" name="Tabela61" displayName="Tabela61" ref="A2:G173" totalsRowShown="0" headerRowDxfId="36">
  <autoFilter ref="A2:G173" xr:uid="{598E8CE4-2D7C-42C3-8DCD-23EAA3A01F40}"/>
  <tableColumns count="7">
    <tableColumn id="1" xr3:uid="{41D7D84B-C49F-4BBA-8193-ADEE888558CC}" name="Miejsce w rankingu RV250"/>
    <tableColumn id="2" xr3:uid="{9F3007DD-EBDC-4F85-9DAF-B3803ACB26B7}" name="Nazwa Uczelni" dataDxfId="35">
      <calculatedColumnFormula>Analiza_wRankingach[[#This Row],[Nazwa uczelni]]</calculatedColumnFormula>
    </tableColumn>
    <tableColumn id="3" xr3:uid="{5F9ABA70-CF5E-491E-A28E-03417B11B384}" name="Wartość rankingu RV250" dataDxfId="34">
      <calculatedColumnFormula>Analiza_wRankingach[[#This Row],[WartośćKontrolna]]</calculatedColumnFormula>
    </tableColumn>
    <tableColumn id="4" xr3:uid="{E5CC38A7-ECAB-47E6-9327-206DA0F2CB5F}" name="Miejsce w top100 rankingu THE 2023" dataDxfId="33">
      <calculatedColumnFormula>Analiza_wRankingach[[#This Row],[THE_RV]]</calculatedColumnFormula>
    </tableColumn>
    <tableColumn id="5" xr3:uid="{4616DD57-25EB-48A1-B7E2-024436CF9791}" name="Miejsce w top100 rankingu ARWU 2023" dataDxfId="32">
      <calculatedColumnFormula>Analiza_wRankingach[[#This Row],[ARWU_RV]]</calculatedColumnFormula>
    </tableColumn>
    <tableColumn id="6" xr3:uid="{F6E50E54-93E0-4805-80AC-9B46268A7BD3}" name="Miejsce w top100 rankingu QS 2023" dataDxfId="31">
      <calculatedColumnFormula>Analiza_wRankingach[[#This Row],[QS_RV]]</calculatedColumnFormula>
    </tableColumn>
    <tableColumn id="7" xr3:uid="{A29E6348-9064-4D62-BB14-DFA2D50D3718}" name="Miejsce w top100 rankingu Webometrics 2023 H1" dataDxfId="30">
      <calculatedColumnFormula>Analiza_wRankingach[[#This Row],[Webometrics_RV]]</calculatedColumnFormula>
    </tableColumn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C024A47D-8680-4ED7-B9C5-C91ED74DEEF2}" name="Perspektywy2022_techn" displayName="Perspektywy2022_techn" ref="A2:BK24" totalsRowShown="0">
  <autoFilter ref="A2:BK24" xr:uid="{C024A47D-8680-4ED7-B9C5-C91ED74DEEF2}"/>
  <sortState xmlns:xlrd2="http://schemas.microsoft.com/office/spreadsheetml/2017/richdata2" ref="A3:AO24">
    <sortCondition ref="C2:C24"/>
  </sortState>
  <tableColumns count="63">
    <tableColumn id="39" xr3:uid="{3B7061DE-452E-4A55-9498-E7F4BE6609D3}" name="Lp."/>
    <tableColumn id="40" xr3:uid="{0A389C0E-D0C8-42FD-8D76-E85604FF8645}" name="Poz."/>
    <tableColumn id="1" xr3:uid="{C687EE78-E86E-42FF-9D7C-46C383F1CE72}" name="Nazwa uczelnie"/>
    <tableColumn id="2" xr3:uid="{4C5EB5C9-8A3B-48B5-BF53-380B943F9921}" name="Wskaźnik rankingowy 2022"/>
    <tableColumn id="41" xr3:uid="{B68B789A-C36A-4419-8006-262097588168}" name="WskaźnikOcenyPunktowej" dataDxfId="29">
      <calculatedColumnFormula>SUMPRODUCT($G$1:$AO$1,Perspektywy2022_techn[[#This Row],[ocena przez kadrę akademicką (10%)]:[Uniwersytety europejskie (1%)]])</calculatedColumnFormula>
    </tableColumn>
    <tableColumn id="42" xr3:uid="{55021E76-D59B-4463-A6BA-41592662449D}" name="Prestiż (łącznie ocena przez kadrę i uznanie międzynar - 12%)" dataDxfId="28">
      <calculatedColumnFormula>SUMPRODUCT($G$1:$H$1,Perspektywy2022_techn[[#This Row],[ocena przez kadrę akademicką (10%)]:[uznanie międzynarodowe 2%]])</calculatedColumnFormula>
    </tableColumn>
    <tableColumn id="3" xr3:uid="{070F99D1-17E2-444D-965D-72F28D054EBC}" name="ocena przez kadrę akademicką (10%)"/>
    <tableColumn id="4" xr3:uid="{F2E6CB0F-1CAD-43E9-A86E-EA2927AE8D9A}" name="uznanie międzynarodowe 2%"/>
    <tableColumn id="5" xr3:uid="{52C609C2-A536-42CC-944F-92F583E245D0}" name="ekonomiczne losy absolwentów (12%)"/>
    <tableColumn id="43" xr3:uid="{AA063F25-709B-45E8-9308-F8C579212973}" name="Potencjał naukowy (łącznie ocena parametryczna, kadra, uprawnienia - 15%)" dataDxfId="27">
      <calculatedColumnFormula>SUMPRODUCT($K$1:$N$1,Perspektywy2022_techn[[#This Row],[ocena parametryczna (10%)]:[Uprawnienia doktorskie (1%)]])</calculatedColumnFormula>
    </tableColumn>
    <tableColumn id="6" xr3:uid="{2B0DF1DF-BDDB-4576-ADF4-94CCDCF66086}" name="ocena parametryczna (10%)"/>
    <tableColumn id="7" xr3:uid="{924F6E61-1CD8-4CA1-B685-069616A25382}" name="nasycenie kadry osobami o najwyższych kwalifikacjach (3%)"/>
    <tableColumn id="8" xr3:uid="{1CF7AA23-F1D4-48E0-BF0F-043E146B05CF}" name="Uprawnienia habilitacyjne (1%)"/>
    <tableColumn id="9" xr3:uid="{F451235D-D37E-4701-B6CB-7B9BCF3BCD36}" name="Uprawnienia doktorskie (1%)"/>
    <tableColumn id="44" xr3:uid="{3F0F7577-456A-45D5-8FB9-7B0B5B76DE45}" name="Innowacyjność (łącznie patenty i SDG - 8%)" dataDxfId="26">
      <calculatedColumnFormula>SUMPRODUCT($P$1:$R$1,Perspektywy2022_techn[[#This Row],[patenty w Polsce (3%)]:[SDG (2%)]])</calculatedColumnFormula>
    </tableColumn>
    <tableColumn id="10" xr3:uid="{9719F168-47D1-40EB-A74A-983EB1107032}" name="patenty w Polsce (3%)"/>
    <tableColumn id="11" xr3:uid="{6C30B1ED-D2D8-4A00-BC93-0FCD86056C35}" name="patenty za granicą (3%)"/>
    <tableColumn id="12" xr3:uid="{23690A72-B023-46A2-84AB-BDB0387FC515}" name="SDG (2%)"/>
    <tableColumn id="45" xr3:uid="{1B821955-DEFC-4ADA-871E-614040FC2A0A}" name="Efektywność naukowa (łącznie efektywność funduszy, rozwój kadry, nadane stopnie i publikacje - 28%)" dataDxfId="25">
      <calculatedColumnFormula>SUMPRODUCT($T$1:$AA$1,Perspektywy2022_techn[[#This Row],[Finanse na badania (6%)]:[Top10 (3%)]])</calculatedColumnFormula>
    </tableColumn>
    <tableColumn id="13" xr3:uid="{527B5413-2108-4DF3-9877-DDECE257F01C}" name="Finanse na badania (6%)"/>
    <tableColumn id="14" xr3:uid="{894159D9-D767-49DE-8B80-CD973B437167}" name="rozwój kady własnej (4%)"/>
    <tableColumn id="15" xr3:uid="{230CA75F-D744-4DF0-AB2D-F61B1EA2A9F0}" name="nadane tytuły i stopnie (3%)"/>
    <tableColumn id="16" xr3:uid="{986D8475-1D59-4A84-A1F4-FC901B629092}" name="publikacje (3%)"/>
    <tableColumn id="17" xr3:uid="{7F3F59E3-50AA-4F9F-B6C8-1CF23101AABD}" name="cytowania (3%)"/>
    <tableColumn id="18" xr3:uid="{34596536-48F5-46CF-BC05-C0D9E38107A3}" name="FWCI (3%) "/>
    <tableColumn id="19" xr3:uid="{759D266A-0758-4319-839F-E405F6B88D6A}" name="FWVI (3%)"/>
    <tableColumn id="20" xr3:uid="{E08539BE-1F55-4444-B14D-E481CBCE505D}" name="Top10 (3%)"/>
    <tableColumn id="49" xr3:uid="{D6864A4A-CDF6-4B6D-980F-052EDB4F1ECD}" name="Publikacje naukowe (łącznie publikacje, cytowania FWCI, CWVI, Top10 - 15%)" dataDxfId="24">
      <calculatedColumnFormula>SUMPRODUCT($W$1:$AA$1,Perspektywy2022_techn[[#This Row],[publikacje (3%)]:[Top10 (3%)]])</calculatedColumnFormula>
    </tableColumn>
    <tableColumn id="47" xr3:uid="{A22160B0-7D4F-48ED-AD12-C92D6D265819}" name="Warunki kształcenia (łącznie dostępność i akredytacje - 10%)" dataDxfId="23">
      <calculatedColumnFormula>SUMPRODUCT($AD$1:$AE$1,Perspektywy2022_techn[[#This Row],[dostępność dla studentów (5%)]:[akredytacje (5%)]])</calculatedColumnFormula>
    </tableColumn>
    <tableColumn id="21" xr3:uid="{CBAD4B9C-0D7A-4F48-8058-9DC1AB41236E}" name="dostępność dla studentów (5%)"/>
    <tableColumn id="22" xr3:uid="{DAF73618-79DC-41B7-A28E-8672140ECBC1}" name="akredytacje (5%)"/>
    <tableColumn id="48" xr3:uid="{5F2C9DAF-44ED-404A-A19A-6FDD873DB27B}" name="Umiędzynarodowienie (łącznie studia, studiujący i nauczyciele zagraniczni , wymiany, ICI i in. - 15%)" dataDxfId="22">
      <calculatedColumnFormula>SUMPRODUCT($AG$1:$AO$1,Perspektywy2022_techn[[#This Row],[studia w j. obcych (3%)]:[Uniwersytety europejskie (1%)]])</calculatedColumnFormula>
    </tableColumn>
    <tableColumn id="23" xr3:uid="{691271DA-4DB7-4DC3-881E-2B1DAACF012E}" name="studia w j. obcych (3%)"/>
    <tableColumn id="24" xr3:uid="{DECFA895-3EB7-4FDF-A48A-EA56F5B39108}" name="studjujący w j. obcych (2%)"/>
    <tableColumn id="25" xr3:uid="{523749FF-6B64-460F-8628-2CC2E1B4EDC0}" name="studenci cudzoziemcy (3%)"/>
    <tableColumn id="26" xr3:uid="{732C9282-300F-4C50-9536-19DA9AA0F013}" name="ICI - collaboration impact (2%)"/>
    <tableColumn id="27" xr3:uid="{A673E2F7-1343-46B9-8E0B-5EA8C46D751C}" name="nauczyciele z zagranicy (1%)"/>
    <tableColumn id="28" xr3:uid="{72EFDDD9-87FB-411E-BE9B-562FD62C28CD}" name="wyjazdy na wymiany studenckie (1%)"/>
    <tableColumn id="29" xr3:uid="{66F61C32-6D9C-41D4-8FB3-7361F5D91426}" name="przjazdy na wymiany studenckie (1%)"/>
    <tableColumn id="30" xr3:uid="{9219C08F-DA40-45A1-95BE-ED6689540445}" name="wielokulturowość środowiska studenckiego (1%)"/>
    <tableColumn id="31" xr3:uid="{ACA6B8AE-42A5-4A08-8D5A-B5578E6D9EF5}" name="Uniwersytety europejskie (1%)"/>
    <tableColumn id="50" xr3:uid="{C0BC6115-D4BC-49F9-BE17-DD982D6DFBB9}" name="Etykiety wierszy" dataDxfId="21"/>
    <tableColumn id="51" xr3:uid="{514BCCDD-1EA5-4B44-85CE-24FB586435E3}" name="porównaj" dataDxfId="20">
      <calculatedColumnFormula>EXACT(Perspektywy2022_techn[[#This Row],[Nazwa uczelnie]],Perspektywy2022!$AP3)</calculatedColumnFormula>
    </tableColumn>
    <tableColumn id="52" xr3:uid="{BF1445BC-6482-49C6-B762-23649592D384}" name="Techniczna_Wartość" dataDxfId="19"/>
    <tableColumn id="53" xr3:uid="{CDE15BF7-CABC-445F-BE14-A4B72ADC8298}" name="Suma z U_N" dataDxfId="18"/>
    <tableColumn id="54" xr3:uid="{51C6FBE0-96D4-4C5E-AE19-BA05E4D0AEC5}" name="Suma z U_N_WZUS" dataDxfId="17"/>
    <tableColumn id="55" xr3:uid="{B7212456-09F4-4879-9A06-6F300012EFE1}" name="Suma z U_N_POZAZUS" dataDxfId="16"/>
    <tableColumn id="56" xr3:uid="{F6EC7CD8-B581-4EED-B7FF-1AFD9255DF6B}" name="Średnia z U_E_ZAR_P1" dataDxfId="15"/>
    <tableColumn id="57" xr3:uid="{7BF292EF-BD89-42B6-B35D-6E1E078BB1D5}" name="Średnia z U_CZY_PRACA_P1" dataDxfId="14"/>
    <tableColumn id="58" xr3:uid="{979B4953-6F87-4F20-A5D4-BB8C0F8F73BF}" name="IWRA_1R" dataDxfId="13">
      <calculatedColumnFormula>Perspektywy2022!$AV3*Perspektywy2022!$AW3/100</calculatedColumnFormula>
    </tableColumn>
    <tableColumn id="59" xr3:uid="{B963F83E-1EDA-4E32-BF92-00C8CAC1C8CD}" name="Średnia z U_E_ZAR_P3" dataDxfId="12"/>
    <tableColumn id="60" xr3:uid="{E2F37B9C-15F2-4EA2-B0BD-774386C0A6B8}" name="Średnia z U_CZY_PRACA_P3" dataDxfId="11"/>
    <tableColumn id="61" xr3:uid="{8BF4B934-50A6-4575-BB59-FC496E89692E}" name="IWRA_3R" dataDxfId="10">
      <calculatedColumnFormula>Perspektywy2022!$AY3*Perspektywy2022!$AZ3/100</calculatedColumnFormula>
    </tableColumn>
    <tableColumn id="62" xr3:uid="{B39F2BF1-82F9-4D84-9A50-D7FAE41FCF75}" name="1R_WzględnyWskaźnikZarobków" dataDxfId="9"/>
    <tableColumn id="63" xr3:uid="{A455AB42-A9D4-4284-BDCC-2BA774D97AF3}" name="3R_WzględnyWskaźnikZarobków" dataDxfId="8"/>
    <tableColumn id="64" xr3:uid="{08AA0B9F-1BFC-4C06-9815-687AE152447B}" name="CountryWebometrics2023H1" dataDxfId="7"/>
    <tableColumn id="65" xr3:uid="{5E697ACB-5F05-4728-B218-9E272EC43DF1}" name="WorldRankValue_Webometrics2023H1" dataDxfId="6"/>
    <tableColumn id="66" xr3:uid="{4BB7FFEB-9D85-47C3-8C90-51545DDCF804}" name="University" dataDxfId="5"/>
    <tableColumn id="67" xr3:uid="{6DDB2263-A907-468C-ADF8-560C4097C702}" name="Nazwa uczelni technicznej" dataDxfId="4"/>
    <tableColumn id="68" xr3:uid="{1CC751D2-403C-4D1C-9C6C-60F43429AA10}" name="porównajWebometrics" dataDxfId="3">
      <calculatedColumnFormula>EXACT(Perspektywy2022_techn[[#This Row],[Nazwa uczelnie]],BG3)</calculatedColumnFormula>
    </tableColumn>
    <tableColumn id="69" xr3:uid="{73CBD7E8-AE63-49D8-8B0E-4B424E4EE3ED}" name="Impact Rank*" dataDxfId="2"/>
    <tableColumn id="70" xr3:uid="{9CCADC6A-B4EF-46B7-A063-A4B2938EE50B}" name="Openness Rank*" dataDxfId="1"/>
    <tableColumn id="71" xr3:uid="{87D939AD-30D0-43FF-8EAB-D0CAA730C357}" name="Excellence Rank*" dataDxfId="0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1C6A563B-A091-4193-89C5-D78D3133F08D}" name="PolandWebomatrics2023H1" displayName="PolandWebomatrics2023H1" ref="B2:H388" totalsRowShown="0">
  <autoFilter ref="B2:H388" xr:uid="{1C6A563B-A091-4193-89C5-D78D3133F08D}"/>
  <sortState xmlns:xlrd2="http://schemas.microsoft.com/office/spreadsheetml/2017/richdata2" ref="B3:H388">
    <sortCondition descending="1" ref="E2:E388"/>
  </sortState>
  <tableColumns count="7">
    <tableColumn id="1" xr3:uid="{88FC908C-83A2-4BD9-8154-8B8E477781A2}" name="ranking"/>
    <tableColumn id="2" xr3:uid="{8C8AE19E-8775-4084-9C01-29C665C81B18}" name="WorldRankValue_Webometrics2023H1"/>
    <tableColumn id="3" xr3:uid="{C04C7852-BBE9-4F6E-BE30-FFA67FCA5350}" name="University"/>
    <tableColumn id="4" xr3:uid="{428DFD38-1788-4132-99D3-E7D2675A5613}" name="Nazwa uczelni technicznej"/>
    <tableColumn id="5" xr3:uid="{BDC9F6F7-8E94-425E-9A04-58ED3FB683E9}" name="Impact Rank*"/>
    <tableColumn id="6" xr3:uid="{64BAD809-C6F6-4787-9B26-AC8892C7ACE3}" name="Openness Rank*"/>
    <tableColumn id="7" xr3:uid="{7B8E1CD6-363B-4A1D-8BC5-9E53023EEBC7}" name="Excellence Rank*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C437CD3-4CA7-4D35-9254-C51AACC194AF}" name="THE_top100" displayName="THE_top100" ref="B1:J101" totalsRowShown="0">
  <autoFilter ref="B1:J101" xr:uid="{DC437CD3-4CA7-4D35-9254-C51AACC194AF}"/>
  <sortState xmlns:xlrd2="http://schemas.microsoft.com/office/spreadsheetml/2017/richdata2" ref="B2:J101">
    <sortCondition ref="B1:B101"/>
  </sortState>
  <tableColumns count="9">
    <tableColumn id="1" xr3:uid="{3C992431-0C17-4109-82DF-99A108C1844E}" name="Rank"/>
    <tableColumn id="2" xr3:uid="{DB9C1387-49BA-4819-ADCB-E1985A48F1BE}" name="Name"/>
    <tableColumn id="3" xr3:uid="{DE4C3470-C679-47CC-AC40-43023E4FCBA2}" name="Country"/>
    <tableColumn id="4" xr3:uid="{6FD550B0-8DAC-490A-B4A0-4C0EABF74CD3}" name="Overall"/>
    <tableColumn id="5" xr3:uid="{09584A26-B910-4BCB-9606-AF8B11376489}" name="Teaching"/>
    <tableColumn id="6" xr3:uid="{752C9D1E-5822-4124-9894-7AB2A2E08F3E}" name="Research"/>
    <tableColumn id="7" xr3:uid="{14FC083E-1C2C-4CC9-ACDE-99513B228AC7}" name="Citations"/>
    <tableColumn id="8" xr3:uid="{94160742-5652-45B8-828D-1B4598C8133E}" name="Industry Income"/>
    <tableColumn id="9" xr3:uid="{D4E59E01-93D5-4238-A036-D8411BF50B1A}" name="International Outlook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D2C87AF-92E8-454D-8401-3F9E6893F80A}" name="ARWU_top100" displayName="ARWU_top100" ref="A1:E101" totalsRowShown="0">
  <autoFilter ref="A1:E101" xr:uid="{FD2C87AF-92E8-454D-8401-3F9E6893F80A}"/>
  <sortState xmlns:xlrd2="http://schemas.microsoft.com/office/spreadsheetml/2017/richdata2" ref="B2:E101">
    <sortCondition ref="B1:B101"/>
  </sortState>
  <tableColumns count="5">
    <tableColumn id="7" xr3:uid="{D3699994-E454-4499-99E4-0911C7041090}" name="ID"/>
    <tableColumn id="1" xr3:uid="{3E9AC2E0-84BB-4FDF-9CEC-9F78A111CDCB}" name="World Rank"/>
    <tableColumn id="2" xr3:uid="{CD01AED5-C991-436D-87EA-66494638F138}" name="Institution"/>
    <tableColumn id="4" xr3:uid="{578DE983-06D1-410D-BF17-DFD8431DBF09}" name="National/Regional Rank"/>
    <tableColumn id="5" xr3:uid="{03CF5623-535D-4837-BC9A-647CE7E4CE5F}" name="Total Score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1EF885A-3F6F-4302-966A-A8542B27971A}" name="QS_top100" displayName="QS_top100" ref="A1:E101" totalsRowShown="0">
  <autoFilter ref="A1:E101" xr:uid="{B1EF885A-3F6F-4302-966A-A8542B27971A}"/>
  <tableColumns count="5">
    <tableColumn id="1" xr3:uid="{2B9FE619-3143-4C53-9D31-7D36605561BF}" name="ID"/>
    <tableColumn id="2" xr3:uid="{1A9C2CC9-1D30-4E00-87F2-6D5A7A36DDD7}" name="World Rank"/>
    <tableColumn id="3" xr3:uid="{139FB4F9-8AE9-4487-8AD9-F98353848E90}" name="Institution"/>
    <tableColumn id="4" xr3:uid="{F4222BB5-151F-4788-90A9-EC1D8C394E01}" name="Region"/>
    <tableColumn id="5" xr3:uid="{963AEBF0-BF89-4188-9FFC-5D51AFA6D6A7}" name="Score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642C68F-C2E5-4CA4-AF59-EA92E427E5B0}" name="Webometrics_top100" displayName="Webometrics_top100" ref="B1:F101" totalsRowShown="0">
  <autoFilter ref="B1:F101" xr:uid="{6642C68F-C2E5-4CA4-AF59-EA92E427E5B0}"/>
  <tableColumns count="5">
    <tableColumn id="1" xr3:uid="{67B66D5A-A006-4A01-8079-57771FF7357B}" name="rankingsort descending"/>
    <tableColumn id="2" xr3:uid="{DD06B971-9097-4834-B66E-DF1B4961262A}" name="University"/>
    <tableColumn id="5" xr3:uid="{48C1B656-598C-4190-8330-DA29ADE45FA2}" name="Impact Rank*"/>
    <tableColumn id="6" xr3:uid="{ED268BCC-05DB-417A-ADD2-8846A467986B}" name="Openness Rank*"/>
    <tableColumn id="7" xr3:uid="{B5721CFE-5CBF-4787-9322-C88F64906E79}" name="Excellence Rank*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F484EFA-BB02-4584-874F-304DED5E2A39}" name="Analiza_wRankingach" displayName="Analiza_wRankingach" ref="O2:AI174" totalsRowCount="1" headerRowDxfId="273">
  <autoFilter ref="O2:AI173" xr:uid="{0F484EFA-BB02-4584-874F-304DED5E2A39}"/>
  <sortState xmlns:xlrd2="http://schemas.microsoft.com/office/spreadsheetml/2017/richdata2" ref="O3:AI173">
    <sortCondition ref="Y2:Y173"/>
  </sortState>
  <tableColumns count="21">
    <tableColumn id="1" xr3:uid="{EAC12CE0-4358-4AC6-8B15-41E8F6CC543B}" name="Nazwa uczelni"/>
    <tableColumn id="10" xr3:uid="{920E2FCD-CA96-4BFF-97A2-FA48E0DA495E}" name="THE" totalsRowFunction="sum" dataDxfId="272">
      <calculatedColumnFormula>IF(SUMIFS(StandardName[IDinTheRanking],StandardName[StandardizedName],Analiza_wRankingach[[#This Row],[Nazwa uczelni]],StandardName[Ranking],"=THE")&gt;0,1,0)</calculatedColumnFormula>
    </tableColumn>
    <tableColumn id="9" xr3:uid="{CA3DFC4C-7AC8-43A2-8042-4721039C97C5}" name="ARWU" totalsRowFunction="sum" dataDxfId="271">
      <calculatedColumnFormula>IF(SUMIFS(StandardName[IDinTheRanking],StandardName[StandardizedName],Analiza_wRankingach[[#This Row],[Nazwa uczelni]],StandardName[Ranking],"=ARWU")&gt;0,1,0)</calculatedColumnFormula>
    </tableColumn>
    <tableColumn id="8" xr3:uid="{9EFED3A3-61AD-4C33-A319-026B881AA1F6}" name="QS" totalsRowFunction="sum" dataDxfId="270">
      <calculatedColumnFormula>IF(SUMIFS(StandardName[IDinTheRanking],StandardName[StandardizedName],Analiza_wRankingach[[#This Row],[Nazwa uczelni]],StandardName[Ranking],"=QS")&gt;0,1,0)</calculatedColumnFormula>
    </tableColumn>
    <tableColumn id="7" xr3:uid="{9B01B241-ADB5-4E6B-B9F7-CE39418484B7}" name="Webometrics" totalsRowFunction="sum" dataDxfId="269">
      <calculatedColumnFormula>IF(SUMIFS(StandardName[IDinTheRanking],StandardName[StandardizedName],Analiza_wRankingach[[#This Row],[Nazwa uczelni]],StandardName[Ranking],"=Webometrics")&gt;0,1,0)</calculatedColumnFormula>
    </tableColumn>
    <tableColumn id="11" xr3:uid="{8A3E0AAD-BA42-4D01-B882-5EE35B38B800}" name="LiczbaWystąpień" totalsRowFunction="countNums" dataDxfId="268">
      <calculatedColumnFormula>SUM(Analiza_wRankingach[[#This Row],[THE]:[Webometrics]])</calculatedColumnFormula>
    </tableColumn>
    <tableColumn id="15" xr3:uid="{43FA9020-DDD2-4943-A07D-6F3429289DB2}" name="THE_RV1000" dataDxfId="267">
      <calculatedColumnFormula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calculatedColumnFormula>
    </tableColumn>
    <tableColumn id="14" xr3:uid="{F5EF9544-DC7B-403A-9B4D-26AADA3B9378}" name="ARWU_RV1000" dataDxfId="266">
      <calculatedColumnFormula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calculatedColumnFormula>
    </tableColumn>
    <tableColumn id="13" xr3:uid="{6494EB91-EA74-40A7-82D0-ABCF3A48111D}" name="QS_RV1000" dataDxfId="265">
      <calculatedColumnFormula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calculatedColumnFormula>
    </tableColumn>
    <tableColumn id="12" xr3:uid="{66B6D9BD-4B2B-4512-AFD7-26769327933B}" name="Webometrics_RV1000" dataDxfId="264">
      <calculatedColumnFormula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calculatedColumnFormula>
    </tableColumn>
    <tableColumn id="16" xr3:uid="{9DAB6198-C85D-404E-B9E7-34946061D479}" name="WartośćKontrolna" dataDxfId="263">
      <calculatedColumnFormula>SUM(Analiza_wRankingach[[#This Row],[THE_RV1000]:[Webometrics_RV1000]])</calculatedColumnFormula>
    </tableColumn>
    <tableColumn id="20" xr3:uid="{C6EEB8F5-1162-4E5F-A8E2-BFACA6DF20D7}" name="THE_RV" dataDxfId="262">
      <calculatedColumnFormula>SUMIFS(StandardName[RankValueInTheRanking],StandardName[StandardizedName],Analiza_wRankingach[[#This Row],[Nazwa uczelni]],StandardName[Ranking],"=THE")</calculatedColumnFormula>
    </tableColumn>
    <tableColumn id="19" xr3:uid="{1A669958-C419-46B4-94BA-8271B98F02DF}" name="ARWU_RV" dataDxfId="261">
      <calculatedColumnFormula>SUMIFS(StandardName[RankValueInTheRanking],StandardName[StandardizedName],Analiza_wRankingach[[#This Row],[Nazwa uczelni]],StandardName[Ranking],"=ARWU")</calculatedColumnFormula>
    </tableColumn>
    <tableColumn id="18" xr3:uid="{5AA7667D-B0B1-4E91-8F51-FAD811336F88}" name="QS_RV" dataDxfId="260">
      <calculatedColumnFormula>SUMIFS(StandardName[RankValueInTheRanking],StandardName[StandardizedName],Analiza_wRankingach[[#This Row],[Nazwa uczelni]],StandardName[Ranking],"=QS")</calculatedColumnFormula>
    </tableColumn>
    <tableColumn id="17" xr3:uid="{1C6D3727-3A03-40AA-910F-2D5FA2F4F6E1}" name="Webometrics_RV" dataDxfId="259">
      <calculatedColumnFormula>SUMIFS(StandardName[RankValueInTheRanking],StandardName[StandardizedName],Analiza_wRankingach[[#This Row],[Nazwa uczelni]],StandardName[Ranking],"=Webometrics")</calculatedColumnFormula>
    </tableColumn>
    <tableColumn id="2" xr3:uid="{9CD95859-4882-4900-B809-C6E482D6DD98}" name="THE_ID" dataDxfId="258">
      <calculatedColumnFormula>SUMIFS(StandardName[IDinTheRanking],StandardName[StandardizedName],Analiza_wRankingach[[#This Row],[Nazwa uczelni]],StandardName[Ranking],"=THE")</calculatedColumnFormula>
    </tableColumn>
    <tableColumn id="3" xr3:uid="{AC8A1684-236D-4581-9352-9AEF45F017EF}" name="ARWU_ID" dataDxfId="257">
      <calculatedColumnFormula>SUMIFS(StandardName[IDinTheRanking],StandardName[StandardizedName],Analiza_wRankingach[[#This Row],[Nazwa uczelni]],StandardName[Ranking],"=ARWU")</calculatedColumnFormula>
    </tableColumn>
    <tableColumn id="4" xr3:uid="{BC893D2B-B21F-4CD7-83C2-8BD7E260944C}" name="QS_ID" dataDxfId="256">
      <calculatedColumnFormula>SUMIFS(StandardName[IDinTheRanking],StandardName[StandardizedName],Analiza_wRankingach[[#This Row],[Nazwa uczelni]],StandardName[Ranking],"=QS")</calculatedColumnFormula>
    </tableColumn>
    <tableColumn id="5" xr3:uid="{1DA383FA-D2B6-4D5C-A35C-3226AC080F77}" name="Webometrics_ID" dataDxfId="255">
      <calculatedColumnFormula>SUMIFS(StandardName[IDinTheRanking],StandardName[StandardizedName],Analiza_wRankingach[[#This Row],[Nazwa uczelni]],StandardName[Ranking],"=Webometrics")</calculatedColumnFormula>
    </tableColumn>
    <tableColumn id="6" xr3:uid="{380EB55F-A374-4D58-B5D0-93EFA790A873}" name="SumaKontrolnaID" dataDxfId="254">
      <calculatedColumnFormula>SUM(Analiza_wRankingach[[#This Row],[THE_ID]:[Webometrics_ID]])</calculatedColumnFormula>
    </tableColumn>
    <tableColumn id="21" xr3:uid="{616A8416-6A1C-4FBD-91EA-34C26F0CE96A}" name="kontrolaLiczbyWystąpień" dataDxfId="253">
      <calculatedColumnFormula>IF(Analiza_wRankingach[[#This Row],[LiczbaWystąpień]]&gt;=T4,"OK","UWAGA")</calculatedColumnFormula>
    </tableColumn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5B7BC336-A644-407F-8126-9DC9703D786C}" name="Tabela1719" displayName="Tabela1719" ref="B2:AM98" totalsRowShown="0">
  <autoFilter ref="B2:AM98" xr:uid="{C024A47D-8680-4ED7-B9C5-C91ED74DEEF2}"/>
  <tableColumns count="38">
    <tableColumn id="1" xr3:uid="{DEC45AD4-2EF6-447E-A323-55CBAC5082DC}" name="Nazwa uczelnie"/>
    <tableColumn id="2" xr3:uid="{866B3322-CB5F-4CF2-B408-7DA80FF1936F}" name="Kolumna2"/>
    <tableColumn id="3" xr3:uid="{6EB44E6A-D352-485E-9256-C8B45CF947E5}" name="Kolumna3"/>
    <tableColumn id="4" xr3:uid="{36CA718E-44CF-4F4F-9FE6-824FF2C43A1D}" name="Kolumna4"/>
    <tableColumn id="5" xr3:uid="{EF946F5E-F7AE-49B5-A6D0-BE91D7CF6E27}" name="Kolumna5"/>
    <tableColumn id="6" xr3:uid="{E13C9961-9B85-430E-8A22-4F4A8C11E3E4}" name="Kolumna6"/>
    <tableColumn id="7" xr3:uid="{E16A2864-EA9D-4D2E-A3BA-726DC5E9E207}" name="Kolumna7"/>
    <tableColumn id="8" xr3:uid="{AB7AE856-688C-49F2-BCA7-4D9EA4C6249D}" name="Kolumna8"/>
    <tableColumn id="9" xr3:uid="{46BA834B-C55A-4FBE-A882-418CC6105750}" name="Kolumna9"/>
    <tableColumn id="10" xr3:uid="{4F503994-CAF2-4F26-AD3B-D5341BBC8E4A}" name="Kolumna10"/>
    <tableColumn id="11" xr3:uid="{477579E2-46FF-4BF7-8A5F-551D600EC5DC}" name="Kolumna11"/>
    <tableColumn id="12" xr3:uid="{9BBD74AD-EB30-4ADF-A9F9-48B17C795E5E}" name="Kolumna12"/>
    <tableColumn id="13" xr3:uid="{9762758B-4A77-480E-BF52-D84F6F836059}" name="Kolumna13"/>
    <tableColumn id="14" xr3:uid="{768FD7A9-F0F1-457A-9732-3206406B999F}" name="Kolumna14"/>
    <tableColumn id="15" xr3:uid="{59DAE10C-68EC-4B64-AAFF-FD9ABB3A8319}" name="Kolumna15"/>
    <tableColumn id="16" xr3:uid="{F6869D07-8842-4FF6-A0C1-53D01E2F8A14}" name="Kolumna16"/>
    <tableColumn id="17" xr3:uid="{260DE162-F981-41A1-91E9-659B87D90510}" name="Kolumna17"/>
    <tableColumn id="18" xr3:uid="{42EA0B7B-CA30-4E3C-BABB-C15D63B209CD}" name="Kolumna18"/>
    <tableColumn id="19" xr3:uid="{0ECA7D21-7981-4213-BF68-2D713C21F8C1}" name="Kolumna19"/>
    <tableColumn id="20" xr3:uid="{815B05EF-7C39-4CF2-AAF1-4466763E3133}" name="Kolumna20"/>
    <tableColumn id="21" xr3:uid="{99DE5967-6916-4EC1-99F8-D8338265CDF5}" name="Kolumna21"/>
    <tableColumn id="22" xr3:uid="{411D104B-D20E-4F84-A5CB-B5EFDD2D17A4}" name="Kolumna22"/>
    <tableColumn id="23" xr3:uid="{8CEBFA6D-0F1E-4D0D-9FB3-AB83AB260C9E}" name="Kolumna23"/>
    <tableColumn id="24" xr3:uid="{842CE5A2-DB97-4030-BDE1-D181C880C440}" name="Kolumna24"/>
    <tableColumn id="25" xr3:uid="{C5593954-3F28-46D2-BB9A-F632586BF368}" name="Kolumna25"/>
    <tableColumn id="26" xr3:uid="{EB7114F5-E100-422F-8B03-87453F4B766E}" name="Kolumna26"/>
    <tableColumn id="27" xr3:uid="{346DD989-5C50-4904-AF4C-3C6D3D1CFD68}" name="Kolumna27"/>
    <tableColumn id="28" xr3:uid="{87AA5699-EF20-43DF-87CF-C0DDBC4C78F5}" name="Kolumna28"/>
    <tableColumn id="29" xr3:uid="{4882C2C5-3C44-4074-BBB7-5D3FBF43EC28}" name="Kolumna29"/>
    <tableColumn id="30" xr3:uid="{8659A179-58D6-4DFC-A14E-63CEAEA15453}" name="Kolumna30"/>
    <tableColumn id="31" xr3:uid="{C607B0A6-B4A7-4983-9207-B63526A6A60F}" name="Kolumna31"/>
    <tableColumn id="32" xr3:uid="{7BC4B2E8-2C6F-4EA4-A2FA-1A2AE35D9DC4}" name="Kolumna32"/>
    <tableColumn id="33" xr3:uid="{DAC1FCE5-F306-466B-9E35-C36AF537FC8C}" name="Kolumna33"/>
    <tableColumn id="34" xr3:uid="{A5007AC3-B1FC-4933-8DFC-5137197311AD}" name="Kolumna34"/>
    <tableColumn id="35" xr3:uid="{34ADFA3C-B2F0-4EFD-880A-58824B17421C}" name="Kolumna35"/>
    <tableColumn id="36" xr3:uid="{33AB486E-D3A5-4BC7-A575-924557EE1EF6}" name="Kolumna36"/>
    <tableColumn id="37" xr3:uid="{F53B6CFF-DEEA-420D-BA3B-ECC948CBBB83}" name="Kolumna37"/>
    <tableColumn id="38" xr3:uid="{C7E6DF25-FE20-4AAC-8837-A22F2A371EA6}" name="Kolumna3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E9AB34F-9A8A-469D-B61B-4C044A51B885}" name="THE_ARWU" displayName="THE_ARWU" ref="O214:AC285" totalsRowShown="0" headerRowDxfId="252" dataDxfId="250" headerRowBorderDxfId="251" tableBorderDxfId="249" totalsRowBorderDxfId="248">
  <autoFilter ref="O214:AC285" xr:uid="{BE9AB34F-9A8A-469D-B61B-4C044A51B885}"/>
  <tableColumns count="15">
    <tableColumn id="1" xr3:uid="{76F8D351-33E1-4515-ACDE-E92C85B260DF}" name="Nazwa uczelni" dataDxfId="247"/>
    <tableColumn id="2" xr3:uid="{FA0F77EB-364A-40B3-8E6F-DE62A84C2725}" name="THE" dataDxfId="246"/>
    <tableColumn id="3" xr3:uid="{9F63792D-18F7-47BE-8B93-130C969CB2B1}" name="ARWU" dataDxfId="245"/>
    <tableColumn id="4" xr3:uid="{1FDAE850-DD67-4088-86F9-6CFB626502E4}" name="QS" dataDxfId="244"/>
    <tableColumn id="5" xr3:uid="{EAA77720-D649-4EAD-AEF0-46886D665DD2}" name="Webometrics" dataDxfId="243"/>
    <tableColumn id="6" xr3:uid="{C9C5D17E-9824-4BB7-83E4-BEAF9841921E}" name="LiczbaWystąpień" dataDxfId="242"/>
    <tableColumn id="7" xr3:uid="{516EB3D2-1AFE-4003-8000-8D3357995380}" name="THE_RV1000" dataDxfId="241">
      <calculatedColumnFormula>IF(SUMIFS(StandardName[RankValueInTheRanking],StandardName[StandardizedName],THE_ARWU[[#This Row],[Nazwa uczelni]],StandardName[Ranking],$U$1)=0,$N$3,SUMIFS(StandardName[RankValueInTheRanking],StandardName[StandardizedName],THE_ARWU[[#This Row],[Nazwa uczelni]],StandardName[Ranking],$U$1))</calculatedColumnFormula>
    </tableColumn>
    <tableColumn id="8" xr3:uid="{9EE09B33-60A0-47B9-9C5B-C494F3E53EF9}" name="ARWU_RV1000" dataDxfId="240">
      <calculatedColumnFormula>IF(SUMIFS(StandardName[RankValueInTheRanking],StandardName[StandardizedName],THE_ARWU[[#This Row],[Nazwa uczelni]],StandardName[Ranking],$V$1)=0,$N$3,SUMIFS(StandardName[RankValueInTheRanking],StandardName[StandardizedName],THE_ARWU[[#This Row],[Nazwa uczelni]],StandardName[Ranking],$V$1))</calculatedColumnFormula>
    </tableColumn>
    <tableColumn id="9" xr3:uid="{6A0864EF-D349-477C-A207-5300AB5E6A00}" name="QS_RV1000" dataDxfId="239">
      <calculatedColumnFormula>IF(SUMIFS(StandardName[RankValueInTheRanking],StandardName[StandardizedName],THE_ARWU[[#This Row],[Nazwa uczelni]],StandardName[Ranking],$W$1)=0,$N$3,SUMIFS(StandardName[RankValueInTheRanking],StandardName[StandardizedName],THE_ARWU[[#This Row],[Nazwa uczelni]],StandardName[Ranking],$W$1))</calculatedColumnFormula>
    </tableColumn>
    <tableColumn id="10" xr3:uid="{D9986505-E2AF-4718-B260-3B15684B5729}" name="Webometrics_RV1000" dataDxfId="238">
      <calculatedColumnFormula>IF(SUMIFS(StandardName[RankValueInTheRanking],StandardName[StandardizedName],THE_ARWU[[#This Row],[Nazwa uczelni]],StandardName[Ranking],$X$1)=0,$N$3,SUMIFS(StandardName[RankValueInTheRanking],StandardName[StandardizedName],THE_ARWU[[#This Row],[Nazwa uczelni]],StandardName[Ranking],$X$1))</calculatedColumnFormula>
    </tableColumn>
    <tableColumn id="11" xr3:uid="{C6A67B1E-6354-445D-A633-3E53DDB6887E}" name="WartośćKontrolna" dataDxfId="237">
      <calculatedColumnFormula>SUM(THE_ARWU[[#This Row],[THE_RV1000]:[Webometrics_RV1000]])</calculatedColumnFormula>
    </tableColumn>
    <tableColumn id="12" xr3:uid="{3362ACE7-72D9-44EF-92FF-F9649D8C2992}" name="THE_RV" dataDxfId="236"/>
    <tableColumn id="13" xr3:uid="{5ABFA25D-3764-456F-B70C-89FDE1E6B043}" name="ARWU_RV" dataDxfId="235"/>
    <tableColumn id="14" xr3:uid="{ECD11FC8-77A2-4523-8DD8-CF29417CEADC}" name="QS_RV" dataDxfId="234"/>
    <tableColumn id="15" xr3:uid="{9A8745D2-A68C-45D3-A38C-F8B32A16036C}" name="Webometrics_RV" dataDxfId="23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D3980BDF-6A96-4DB1-9008-99D172699464}" name="THE_QS" displayName="THE_QS" ref="O288:AC363" totalsRowShown="0" headerRowDxfId="232" dataDxfId="230" headerRowBorderDxfId="231" tableBorderDxfId="229" totalsRowBorderDxfId="228">
  <autoFilter ref="O288:AC363" xr:uid="{D3980BDF-6A96-4DB1-9008-99D172699464}"/>
  <tableColumns count="15">
    <tableColumn id="1" xr3:uid="{B5E576CA-347B-4387-A376-93D0F54F21C3}" name="Nazwa uczelni" dataDxfId="227"/>
    <tableColumn id="2" xr3:uid="{DC43F47A-887F-428F-84EF-0124B00FC0E7}" name="THE" dataDxfId="226"/>
    <tableColumn id="3" xr3:uid="{0C383A62-BB65-4532-8C91-AC7846702517}" name="ARWU" dataDxfId="225"/>
    <tableColumn id="4" xr3:uid="{4203CBE8-EC9B-491F-819D-D081DA62D00F}" name="QS" dataDxfId="224"/>
    <tableColumn id="5" xr3:uid="{DFC54FB2-3C38-496E-B7DE-FBEDBA3BD0AD}" name="Webometrics" dataDxfId="223"/>
    <tableColumn id="6" xr3:uid="{08C83BE9-3C7A-449E-9BE5-96AF42F6850A}" name="LiczbaWystąpień" dataDxfId="222"/>
    <tableColumn id="7" xr3:uid="{CE1A3BFA-1CEE-4590-A207-43BD610F33B6}" name="THE_RV1000" dataDxfId="221">
      <calculatedColumnFormula>IF(SUMIFS(StandardName[RankValueInTheRanking],StandardName[StandardizedName],THE_QS[[#This Row],[Nazwa uczelni]],StandardName[Ranking],$U$1)=0,$N$3,SUMIFS(StandardName[RankValueInTheRanking],StandardName[StandardizedName],THE_QS[[#This Row],[Nazwa uczelni]],StandardName[Ranking],$U$1))</calculatedColumnFormula>
    </tableColumn>
    <tableColumn id="8" xr3:uid="{A29DCB0B-4F9E-4561-9C29-BCD39F24390D}" name="ARWU_RV1000" dataDxfId="220">
      <calculatedColumnFormula>IF(SUMIFS(StandardName[RankValueInTheRanking],StandardName[StandardizedName],THE_QS[[#This Row],[Nazwa uczelni]],StandardName[Ranking],$V$1)=0,$N$3,SUMIFS(StandardName[RankValueInTheRanking],StandardName[StandardizedName],THE_QS[[#This Row],[Nazwa uczelni]],StandardName[Ranking],$V$1))</calculatedColumnFormula>
    </tableColumn>
    <tableColumn id="9" xr3:uid="{FED4EA4D-D384-4A6F-8844-B74169E259A8}" name="QS_RV1000" dataDxfId="219">
      <calculatedColumnFormula>IF(SUMIFS(StandardName[RankValueInTheRanking],StandardName[StandardizedName],THE_QS[[#This Row],[Nazwa uczelni]],StandardName[Ranking],$W$1)=0,$N$3,SUMIFS(StandardName[RankValueInTheRanking],StandardName[StandardizedName],THE_QS[[#This Row],[Nazwa uczelni]],StandardName[Ranking],$W$1))</calculatedColumnFormula>
    </tableColumn>
    <tableColumn id="10" xr3:uid="{E23758B9-A8BD-4832-A084-64620A2E88F4}" name="Webometrics_RV1000" dataDxfId="218">
      <calculatedColumnFormula>IF(SUMIFS(StandardName[RankValueInTheRanking],StandardName[StandardizedName],THE_QS[[#This Row],[Nazwa uczelni]],StandardName[Ranking],$X$1)=0,$N$3,SUMIFS(StandardName[RankValueInTheRanking],StandardName[StandardizedName],THE_QS[[#This Row],[Nazwa uczelni]],StandardName[Ranking],$X$1))</calculatedColumnFormula>
    </tableColumn>
    <tableColumn id="11" xr3:uid="{715F3209-8F2D-4D29-9FCD-99582E756B3A}" name="WartośćKontrolna" dataDxfId="217">
      <calculatedColumnFormula>SUM(THE_QS[[#This Row],[THE_RV1000]:[Webometrics_RV1000]])</calculatedColumnFormula>
    </tableColumn>
    <tableColumn id="12" xr3:uid="{619B7BF5-7A84-49BF-970A-FCA9AB2A1291}" name="THE_RV" dataDxfId="216"/>
    <tableColumn id="13" xr3:uid="{666139E6-5EDA-4F2D-8813-CDD988022D01}" name="ARWU_RV" dataDxfId="215"/>
    <tableColumn id="14" xr3:uid="{6B703D86-5267-4E70-84C3-3D5195ABF2A4}" name="QS_RV" dataDxfId="214"/>
    <tableColumn id="15" xr3:uid="{60815204-94D7-4C51-B2C6-157A3CDD2FDF}" name="Webometrics_RV" dataDxfId="213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65C616E2-AD59-494B-B8D3-8FB1A25EEF8E}" name="THE_Webometrics" displayName="THE_Webometrics" ref="O366:AC436" totalsRowShown="0" headerRowDxfId="212" dataDxfId="210" headerRowBorderDxfId="211" tableBorderDxfId="209" totalsRowBorderDxfId="208">
  <autoFilter ref="O366:AC436" xr:uid="{65C616E2-AD59-494B-B8D3-8FB1A25EEF8E}"/>
  <tableColumns count="15">
    <tableColumn id="1" xr3:uid="{7085174C-E863-4D91-812B-EBB722E25BCD}" name="Nazwa uczelni" dataDxfId="207"/>
    <tableColumn id="2" xr3:uid="{F20BFD41-F04E-4763-81D4-E72F5174D577}" name="THE" dataDxfId="206"/>
    <tableColumn id="3" xr3:uid="{3FF7DDF0-2F52-4454-990B-B785F5A7D418}" name="ARWU" dataDxfId="205"/>
    <tableColumn id="4" xr3:uid="{474410BC-94F0-4DBD-9FC9-AE904048CCC9}" name="QS" dataDxfId="204"/>
    <tableColumn id="5" xr3:uid="{24A1D327-AC1D-442B-AC70-EE7209DD4123}" name="Webometrics" dataDxfId="203"/>
    <tableColumn id="6" xr3:uid="{B6D570CD-0E40-4C2E-88DF-0F051D239DDA}" name="LiczbaWystąpień" dataDxfId="202"/>
    <tableColumn id="7" xr3:uid="{A1537B2B-7F20-4BFD-96A0-8055C4599061}" name="THE_RV1000" dataDxfId="201">
      <calculatedColumnFormula>IF(SUMIFS(StandardName[RankValueInTheRanking],StandardName[StandardizedName],THE_Webometrics[[#This Row],[Nazwa uczelni]],StandardName[Ranking],$U$1)=0,$N$3,SUMIFS(StandardName[RankValueInTheRanking],StandardName[StandardizedName],THE_Webometrics[[#This Row],[Nazwa uczelni]],StandardName[Ranking],$U$1))</calculatedColumnFormula>
    </tableColumn>
    <tableColumn id="8" xr3:uid="{3813C8EC-A2C7-46AB-A3A1-D5714E383DAB}" name="ARWU_RV1000" dataDxfId="200">
      <calculatedColumnFormula>IF(SUMIFS(StandardName[RankValueInTheRanking],StandardName[StandardizedName],THE_Webometrics[[#This Row],[Nazwa uczelni]],StandardName[Ranking],$V$1)=0,$N$3,SUMIFS(StandardName[RankValueInTheRanking],StandardName[StandardizedName],THE_Webometrics[[#This Row],[Nazwa uczelni]],StandardName[Ranking],$V$1))</calculatedColumnFormula>
    </tableColumn>
    <tableColumn id="9" xr3:uid="{53FF74BD-0869-49F5-B5E4-6BCCB7F52B98}" name="QS_RV1000" dataDxfId="199">
      <calculatedColumnFormula>IF(SUMIFS(StandardName[RankValueInTheRanking],StandardName[StandardizedName],THE_Webometrics[[#This Row],[Nazwa uczelni]],StandardName[Ranking],$W$1)=0,$N$3,SUMIFS(StandardName[RankValueInTheRanking],StandardName[StandardizedName],THE_Webometrics[[#This Row],[Nazwa uczelni]],StandardName[Ranking],$W$1))</calculatedColumnFormula>
    </tableColumn>
    <tableColumn id="10" xr3:uid="{EF6B8CF9-D634-4A62-838F-73FD2E7D0AC4}" name="Webometrics_RV1000" dataDxfId="198">
      <calculatedColumnFormula>IF(SUMIFS(StandardName[RankValueInTheRanking],StandardName[StandardizedName],THE_Webometrics[[#This Row],[Nazwa uczelni]],StandardName[Ranking],$X$1)=0,$N$3,SUMIFS(StandardName[RankValueInTheRanking],StandardName[StandardizedName],THE_Webometrics[[#This Row],[Nazwa uczelni]],StandardName[Ranking],$X$1))</calculatedColumnFormula>
    </tableColumn>
    <tableColumn id="11" xr3:uid="{5BE54EA8-9470-4770-AF84-455CDBA50D05}" name="WartośćKontrolna" dataDxfId="197">
      <calculatedColumnFormula>SUM(THE_Webometrics[[#This Row],[THE_RV1000]:[Webometrics_RV1000]])</calculatedColumnFormula>
    </tableColumn>
    <tableColumn id="12" xr3:uid="{C1DEF45E-E723-4089-AC3A-A0DABD7833F8}" name="THE_RV" dataDxfId="196"/>
    <tableColumn id="13" xr3:uid="{18B720B9-0AE4-4C39-84E6-64FFBB5DDB99}" name="ARWU_RV" dataDxfId="195"/>
    <tableColumn id="14" xr3:uid="{EB9EA585-09C1-4049-AB70-EEF608FE376F}" name="QS_RV" dataDxfId="194"/>
    <tableColumn id="15" xr3:uid="{C714FA5E-B3D6-4BF4-9981-025A177C0E42}" name="Webometrics_RV" dataDxfId="193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7FAD087C-181C-4DA9-82B5-80DD3D1AEEDA}" name="ARWU_QS" displayName="ARWU_QS" ref="O439:AD500" totalsRowShown="0" headerRowDxfId="192" dataDxfId="190" headerRowBorderDxfId="191" tableBorderDxfId="189" totalsRowBorderDxfId="188">
  <autoFilter ref="O439:AD500" xr:uid="{7FAD087C-181C-4DA9-82B5-80DD3D1AEEDA}"/>
  <tableColumns count="16">
    <tableColumn id="1" xr3:uid="{BD0C2347-3238-4666-AB6B-2CF3CABFD369}" name="Nazwa uczelni" dataDxfId="187"/>
    <tableColumn id="2" xr3:uid="{2AA9FDDE-FDFE-40B4-8492-F4331498F1B3}" name="THE" dataDxfId="186"/>
    <tableColumn id="3" xr3:uid="{268A8DCE-A117-426E-AF2B-AEF198090ED7}" name="ARWU" dataDxfId="185"/>
    <tableColumn id="4" xr3:uid="{BF552235-BC2F-426B-BD35-5D0784109EAA}" name="QS" dataDxfId="184"/>
    <tableColumn id="5" xr3:uid="{446D158C-F4DE-4B3F-AA98-58902B784A03}" name="Webometrics" dataDxfId="183"/>
    <tableColumn id="6" xr3:uid="{F673105E-4669-42CD-87DB-AC0C10C88415}" name="LiczbaWystąpień" dataDxfId="182"/>
    <tableColumn id="7" xr3:uid="{1F28B205-180F-4EAD-8E50-6B9C76201366}" name="THE_RV1000" dataDxfId="181">
      <calculatedColumnFormula>IF(SUMIFS(StandardName[RankValueInTheRanking],StandardName[StandardizedName],ARWU_QS[[#This Row],[Nazwa uczelni]],StandardName[Ranking],$U$1)=0,$N$3,SUMIFS(StandardName[RankValueInTheRanking],StandardName[StandardizedName],ARWU_QS[[#This Row],[Nazwa uczelni]],StandardName[Ranking],$U$1))</calculatedColumnFormula>
    </tableColumn>
    <tableColumn id="8" xr3:uid="{7DF9B569-FB7A-4BFB-B725-8C890AC3E156}" name="ARWU_RV1000" dataDxfId="180">
      <calculatedColumnFormula>IF(SUMIFS(StandardName[RankValueInTheRanking],StandardName[StandardizedName],ARWU_QS[[#This Row],[Nazwa uczelni]],StandardName[Ranking],$V$1)=0,$N$3,SUMIFS(StandardName[RankValueInTheRanking],StandardName[StandardizedName],ARWU_QS[[#This Row],[Nazwa uczelni]],StandardName[Ranking],$V$1))</calculatedColumnFormula>
    </tableColumn>
    <tableColumn id="9" xr3:uid="{3BF1A6CB-13BA-4DE4-8505-B66965D6F680}" name="QS_RV1000" dataDxfId="179">
      <calculatedColumnFormula>IF(SUMIFS(StandardName[RankValueInTheRanking],StandardName[StandardizedName],ARWU_QS[[#This Row],[Nazwa uczelni]],StandardName[Ranking],$W$1)=0,$N$3,SUMIFS(StandardName[RankValueInTheRanking],StandardName[StandardizedName],ARWU_QS[[#This Row],[Nazwa uczelni]],StandardName[Ranking],$W$1))</calculatedColumnFormula>
    </tableColumn>
    <tableColumn id="10" xr3:uid="{FB6501BB-6E64-499E-BFA9-780E353BC998}" name="Webometrics_RV1000" dataDxfId="178">
      <calculatedColumnFormula>IF(SUMIFS(StandardName[RankValueInTheRanking],StandardName[StandardizedName],ARWU_QS[[#This Row],[Nazwa uczelni]],StandardName[Ranking],$X$1)=0,$N$3,SUMIFS(StandardName[RankValueInTheRanking],StandardName[StandardizedName],ARWU_QS[[#This Row],[Nazwa uczelni]],StandardName[Ranking],$X$1))</calculatedColumnFormula>
    </tableColumn>
    <tableColumn id="11" xr3:uid="{01D8EE33-1668-478C-A56A-AC3A1B4F0F22}" name="WartośćKontrolna" dataDxfId="177">
      <calculatedColumnFormula>SUM(ARWU_QS[[#This Row],[THE_RV1000]:[Webometrics_RV1000]])</calculatedColumnFormula>
    </tableColumn>
    <tableColumn id="12" xr3:uid="{0406DF2E-794F-457A-B943-42DFB23ABE24}" name="THE_RV" dataDxfId="176"/>
    <tableColumn id="13" xr3:uid="{95DD5DD4-B4DA-419A-A1F9-71DD8BA10DBB}" name="ARWU_RV" dataDxfId="175"/>
    <tableColumn id="14" xr3:uid="{88B12636-88F8-47F4-B074-E539C28F4855}" name="QS_RV" dataDxfId="174"/>
    <tableColumn id="15" xr3:uid="{CF9057EA-8104-449C-BA1B-5B03232C2A55}" name="Webometrics_RV" dataDxfId="173"/>
    <tableColumn id="16" xr3:uid="{675FE631-B025-43A2-81A4-B8AF3A759DE6}" name="THE_ID" dataDxfId="172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A8D98923-419D-4813-9FC7-0E5B32F6CEC1}" name="ARWU_Webometrics" displayName="ARWU_Webometrics" ref="O503:AC571" totalsRowShown="0" headerRowDxfId="171" dataDxfId="169" headerRowBorderDxfId="170" tableBorderDxfId="168" totalsRowBorderDxfId="167">
  <autoFilter ref="O503:AC571" xr:uid="{A8D98923-419D-4813-9FC7-0E5B32F6CEC1}"/>
  <tableColumns count="15">
    <tableColumn id="1" xr3:uid="{E7DC20FE-F521-4223-940E-8E497FE0A556}" name="Nazwa uczelni" dataDxfId="166"/>
    <tableColumn id="2" xr3:uid="{6EB42AD5-C033-49E3-AC25-1A3F4240281B}" name="THE" dataDxfId="165"/>
    <tableColumn id="3" xr3:uid="{3F667930-982B-4181-95A9-5FB27103C6AA}" name="ARWU" dataDxfId="164"/>
    <tableColumn id="4" xr3:uid="{814A4A08-AC7C-43CE-9268-543220A264DC}" name="QS" dataDxfId="163"/>
    <tableColumn id="5" xr3:uid="{9876A2EE-4F1E-4601-80BD-13D4527FF5ED}" name="Webometrics" dataDxfId="162"/>
    <tableColumn id="6" xr3:uid="{0672ED97-5898-46EC-B2A2-6BFCF169F8E6}" name="LiczbaWystąpień" dataDxfId="161"/>
    <tableColumn id="7" xr3:uid="{9104EC07-8FB8-4D35-A4B9-27A39F3BD53B}" name="THE_RV1000" dataDxfId="160">
      <calculatedColumnFormula>IF(SUMIFS(StandardName[RankValueInTheRanking],StandardName[StandardizedName],ARWU_Webometrics[[#This Row],[Nazwa uczelni]],StandardName[Ranking],$U$1)=0,$N$3,SUMIFS(StandardName[RankValueInTheRanking],StandardName[StandardizedName],ARWU_Webometrics[[#This Row],[Nazwa uczelni]],StandardName[Ranking],$U$1))</calculatedColumnFormula>
    </tableColumn>
    <tableColumn id="8" xr3:uid="{81046798-BA4E-46DE-AE2A-B9709FE7D923}" name="ARWU_RV1000" dataDxfId="159">
      <calculatedColumnFormula>IF(SUMIFS(StandardName[RankValueInTheRanking],StandardName[StandardizedName],ARWU_Webometrics[[#This Row],[Nazwa uczelni]],StandardName[Ranking],$V$1)=0,$N$3,SUMIFS(StandardName[RankValueInTheRanking],StandardName[StandardizedName],ARWU_Webometrics[[#This Row],[Nazwa uczelni]],StandardName[Ranking],$V$1))</calculatedColumnFormula>
    </tableColumn>
    <tableColumn id="9" xr3:uid="{AF746B2C-6035-4971-8787-783D39A1AA54}" name="QS_RV1000" dataDxfId="158">
      <calculatedColumnFormula>IF(SUMIFS(StandardName[RankValueInTheRanking],StandardName[StandardizedName],ARWU_Webometrics[[#This Row],[Nazwa uczelni]],StandardName[Ranking],$W$1)=0,$N$3,SUMIFS(StandardName[RankValueInTheRanking],StandardName[StandardizedName],ARWU_Webometrics[[#This Row],[Nazwa uczelni]],StandardName[Ranking],$W$1))</calculatedColumnFormula>
    </tableColumn>
    <tableColumn id="10" xr3:uid="{B3E28CEC-1BC2-4D4D-BA8F-29340831430D}" name="Webometrics_RV1000" dataDxfId="157">
      <calculatedColumnFormula>IF(SUMIFS(StandardName[RankValueInTheRanking],StandardName[StandardizedName],ARWU_Webometrics[[#This Row],[Nazwa uczelni]],StandardName[Ranking],$X$1)=0,$N$3,SUMIFS(StandardName[RankValueInTheRanking],StandardName[StandardizedName],ARWU_Webometrics[[#This Row],[Nazwa uczelni]],StandardName[Ranking],$X$1))</calculatedColumnFormula>
    </tableColumn>
    <tableColumn id="11" xr3:uid="{8CB175D4-E278-4E13-89BA-6EF51781839A}" name="WartośćKontrolna" dataDxfId="156">
      <calculatedColumnFormula>SUM(ARWU_Webometrics[[#This Row],[THE_RV1000]:[Webometrics_RV1000]])</calculatedColumnFormula>
    </tableColumn>
    <tableColumn id="12" xr3:uid="{1AA96989-85FE-499B-A9B8-2A135E2A971A}" name="THE_RV" dataDxfId="155"/>
    <tableColumn id="13" xr3:uid="{E4086C74-6BF6-47D1-AD35-7C8FA305DE3C}" name="ARWU_RV" dataDxfId="154"/>
    <tableColumn id="14" xr3:uid="{BB2F9D40-0475-4EAB-9FEC-922A59E45CD6}" name="QS_RV" dataDxfId="153"/>
    <tableColumn id="15" xr3:uid="{74E216C0-7898-4FFF-9E62-50A0E4B95977}" name="Webometrics_RV" dataDxfId="152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844363FB-F58E-41E6-87AB-3C20DB3C9A02}" name="QS_Webometrics" displayName="QS_Webometrics" ref="O613:AC674" totalsRowShown="0" headerRowDxfId="151" dataDxfId="149" headerRowBorderDxfId="150" tableBorderDxfId="148" totalsRowBorderDxfId="147">
  <autoFilter ref="O613:AC674" xr:uid="{844363FB-F58E-41E6-87AB-3C20DB3C9A02}"/>
  <tableColumns count="15">
    <tableColumn id="1" xr3:uid="{CA6FEB93-41C5-4E87-9167-34999DB400D0}" name="Nazwa uczelni" dataDxfId="146"/>
    <tableColumn id="2" xr3:uid="{F0A2F425-01C7-4925-AA71-6FB7466D38FD}" name="THE" dataDxfId="145"/>
    <tableColumn id="3" xr3:uid="{5CC502D8-735C-4C52-A318-BB2664D4E138}" name="ARWU" dataDxfId="144"/>
    <tableColumn id="4" xr3:uid="{660A263B-1DE2-47CB-BD28-1465846E5AA0}" name="QS" dataDxfId="143"/>
    <tableColumn id="5" xr3:uid="{564BCADE-3B32-48C3-A198-BE669951C153}" name="Webometrics" dataDxfId="142"/>
    <tableColumn id="6" xr3:uid="{AF8C4F51-A82D-4C0A-9775-4EDA4380326D}" name="LiczbaWystąpień" dataDxfId="141"/>
    <tableColumn id="7" xr3:uid="{E8C75252-37BB-417E-9009-E03EEE939A9E}" name="THE_RV1000" dataDxfId="140">
      <calculatedColumnFormula>IF(SUMIFS(StandardName[RankValueInTheRanking],StandardName[StandardizedName],QS_Webometrics[[#This Row],[Nazwa uczelni]],StandardName[Ranking],$U$1)=0,$N$3,SUMIFS(StandardName[RankValueInTheRanking],StandardName[StandardizedName],QS_Webometrics[[#This Row],[Nazwa uczelni]],StandardName[Ranking],$U$1))</calculatedColumnFormula>
    </tableColumn>
    <tableColumn id="8" xr3:uid="{1AD5E10C-1B3B-407B-A304-AAC15E0BFE91}" name="ARWU_RV1000" dataDxfId="139">
      <calculatedColumnFormula>IF(SUMIFS(StandardName[RankValueInTheRanking],StandardName[StandardizedName],QS_Webometrics[[#This Row],[Nazwa uczelni]],StandardName[Ranking],$V$1)=0,$N$3,SUMIFS(StandardName[RankValueInTheRanking],StandardName[StandardizedName],QS_Webometrics[[#This Row],[Nazwa uczelni]],StandardName[Ranking],$V$1))</calculatedColumnFormula>
    </tableColumn>
    <tableColumn id="9" xr3:uid="{73940684-FD34-4F0B-89D7-63E84AA9A62C}" name="QS_RV1000" dataDxfId="138">
      <calculatedColumnFormula>IF(SUMIFS(StandardName[RankValueInTheRanking],StandardName[StandardizedName],QS_Webometrics[[#This Row],[Nazwa uczelni]],StandardName[Ranking],$W$1)=0,$N$3,SUMIFS(StandardName[RankValueInTheRanking],StandardName[StandardizedName],QS_Webometrics[[#This Row],[Nazwa uczelni]],StandardName[Ranking],$W$1))</calculatedColumnFormula>
    </tableColumn>
    <tableColumn id="10" xr3:uid="{A4412C4E-CE6A-4124-A04C-A9799410B820}" name="Webometrics_RV1000" dataDxfId="137">
      <calculatedColumnFormula>IF(SUMIFS(StandardName[RankValueInTheRanking],StandardName[StandardizedName],QS_Webometrics[[#This Row],[Nazwa uczelni]],StandardName[Ranking],$X$1)=0,$N$3,SUMIFS(StandardName[RankValueInTheRanking],StandardName[StandardizedName],QS_Webometrics[[#This Row],[Nazwa uczelni]],StandardName[Ranking],$X$1))</calculatedColumnFormula>
    </tableColumn>
    <tableColumn id="11" xr3:uid="{D2F1D7A7-7000-45F8-BDF2-D38243BB710C}" name="WartośćKontrolna" dataDxfId="136">
      <calculatedColumnFormula>SUM(QS_Webometrics[[#This Row],[THE_RV1000]:[Webometrics_RV1000]])</calculatedColumnFormula>
    </tableColumn>
    <tableColumn id="12" xr3:uid="{81300F12-AC9F-423F-B18D-A7557FB72E8F}" name="THE_RV" dataDxfId="135"/>
    <tableColumn id="13" xr3:uid="{16B5E559-9A5D-4C34-8961-7C5A2ED52A2C}" name="ARWU_RV" dataDxfId="134"/>
    <tableColumn id="14" xr3:uid="{B96920A8-CCAC-4781-A3C1-DBDF8921A11A}" name="QS_RV" dataDxfId="133"/>
    <tableColumn id="15" xr3:uid="{29B7BBAE-73B5-49E6-8FBB-29A29AED6725}" name="Webometrics_RV" dataDxfId="132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B93A5A8-30E1-4F0B-A1F8-C82F185ADD60}" name="THE_RV1000" displayName="THE_RV1000" ref="O677:AC778" totalsRowCount="1" headerRowDxfId="131" dataDxfId="129" headerRowBorderDxfId="130" tableBorderDxfId="128" totalsRowBorderDxfId="127">
  <autoFilter ref="O677:AC777" xr:uid="{5B93A5A8-30E1-4F0B-A1F8-C82F185ADD60}"/>
  <tableColumns count="15">
    <tableColumn id="1" xr3:uid="{FBFFE552-CF48-4964-AAF5-65C1B9D46652}" name="Nazwa uczelni" dataDxfId="126" totalsRowDxfId="125"/>
    <tableColumn id="2" xr3:uid="{D10AB20E-E861-4581-B68C-6D56DBA25FD2}" name="THE" dataDxfId="124" totalsRowDxfId="123"/>
    <tableColumn id="3" xr3:uid="{4F2A9B51-4A45-4DAE-B251-FDBEB0DD27B8}" name="ARWU" dataDxfId="122" totalsRowDxfId="121"/>
    <tableColumn id="4" xr3:uid="{F7056C2B-1B68-4E33-84F2-AD51334A4D33}" name="QS" dataDxfId="120" totalsRowDxfId="119"/>
    <tableColumn id="5" xr3:uid="{57E69406-A163-4DA3-88A5-786192E85A7D}" name="Webometrics" dataDxfId="118" totalsRowDxfId="117"/>
    <tableColumn id="6" xr3:uid="{CC8D3AB4-78D5-4ABF-9715-4E51F6B263B0}" name="LiczbaWystąpień" dataDxfId="116" totalsRowDxfId="115"/>
    <tableColumn id="7" xr3:uid="{1CE20279-178D-4525-8087-885F93836B0C}" name="THE_RV1000" totalsRowFunction="sum" dataDxfId="114" totalsRowDxfId="113">
      <calculatedColumnFormula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calculatedColumnFormula>
    </tableColumn>
    <tableColumn id="8" xr3:uid="{1EB7FC15-607C-47B2-8675-A5A9CFDC7527}" name="ARWU_RV1000" dataDxfId="112" totalsRowDxfId="111">
      <calculatedColumnFormula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calculatedColumnFormula>
    </tableColumn>
    <tableColumn id="9" xr3:uid="{FADC7B30-1134-4F49-88F4-008D780FFF5F}" name="QS_RV1000" dataDxfId="110" totalsRowDxfId="109">
      <calculatedColumnFormula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calculatedColumnFormula>
    </tableColumn>
    <tableColumn id="10" xr3:uid="{FF49882B-CECF-47C9-B409-4E251F9F35DC}" name="Webometrics_RV1000" dataDxfId="108" totalsRowDxfId="107">
      <calculatedColumnFormula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calculatedColumnFormula>
    </tableColumn>
    <tableColumn id="11" xr3:uid="{1F98CB92-EE71-4779-842F-203E85FECB86}" name="WartośćKontrolna" dataDxfId="106" totalsRowDxfId="105">
      <calculatedColumnFormula>SUM(THE_RV1000[[#This Row],[THE_RV1000]:[Webometrics_RV1000]])</calculatedColumnFormula>
    </tableColumn>
    <tableColumn id="12" xr3:uid="{8AD091AE-8717-4789-A93B-50046F2D4AC2}" name="THE_RV" dataDxfId="104" totalsRowDxfId="103"/>
    <tableColumn id="13" xr3:uid="{AA78CF81-F4C0-4D2B-A98B-9400D76C49A3}" name="ARWU_RV" dataDxfId="102" totalsRowDxfId="101"/>
    <tableColumn id="14" xr3:uid="{7A6FC9B5-6CC4-4FF3-AED0-462CE7D9FBF4}" name="QS_RV" dataDxfId="100" totalsRowDxfId="99"/>
    <tableColumn id="15" xr3:uid="{829468FF-ECFE-46F0-B14C-2021F157787C}" name="Webometrics_RV" dataDxfId="98" totalsRowDxfId="9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5.xml"/><Relationship Id="rId13" Type="http://schemas.openxmlformats.org/officeDocument/2006/relationships/table" Target="../tables/table10.xml"/><Relationship Id="rId3" Type="http://schemas.openxmlformats.org/officeDocument/2006/relationships/drawing" Target="../drawings/drawing1.xml"/><Relationship Id="rId7" Type="http://schemas.openxmlformats.org/officeDocument/2006/relationships/table" Target="../tables/table4.xml"/><Relationship Id="rId12" Type="http://schemas.openxmlformats.org/officeDocument/2006/relationships/table" Target="../tables/table9.xml"/><Relationship Id="rId2" Type="http://schemas.openxmlformats.org/officeDocument/2006/relationships/printerSettings" Target="../printerSettings/printerSettings1.bin"/><Relationship Id="rId16" Type="http://schemas.openxmlformats.org/officeDocument/2006/relationships/table" Target="../tables/table13.xml"/><Relationship Id="rId1" Type="http://schemas.openxmlformats.org/officeDocument/2006/relationships/pivotTable" Target="../pivotTables/pivotTable1.xml"/><Relationship Id="rId6" Type="http://schemas.openxmlformats.org/officeDocument/2006/relationships/table" Target="../tables/table3.xml"/><Relationship Id="rId11" Type="http://schemas.openxmlformats.org/officeDocument/2006/relationships/table" Target="../tables/table8.xml"/><Relationship Id="rId5" Type="http://schemas.openxmlformats.org/officeDocument/2006/relationships/table" Target="../tables/table2.xml"/><Relationship Id="rId15" Type="http://schemas.openxmlformats.org/officeDocument/2006/relationships/table" Target="../tables/table12.xml"/><Relationship Id="rId10" Type="http://schemas.openxmlformats.org/officeDocument/2006/relationships/table" Target="../tables/table7.xml"/><Relationship Id="rId4" Type="http://schemas.openxmlformats.org/officeDocument/2006/relationships/table" Target="../tables/table1.xml"/><Relationship Id="rId9" Type="http://schemas.openxmlformats.org/officeDocument/2006/relationships/table" Target="../tables/table6.xml"/><Relationship Id="rId14" Type="http://schemas.openxmlformats.org/officeDocument/2006/relationships/table" Target="../tables/table1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61F138-2628-4735-A411-35A9CE586A1B}">
  <dimension ref="A1:AP1086"/>
  <sheetViews>
    <sheetView topLeftCell="A100" workbookViewId="0">
      <selection activeCell="B145" sqref="B145"/>
    </sheetView>
  </sheetViews>
  <sheetFormatPr defaultRowHeight="14.25" outlineLevelRow="1" outlineLevelCol="1" x14ac:dyDescent="0.45"/>
  <cols>
    <col min="1" max="1" width="14.33203125" customWidth="1"/>
    <col min="2" max="2" width="52.265625" bestFit="1" customWidth="1"/>
    <col min="3" max="6" width="16.6640625" customWidth="1"/>
    <col min="7" max="7" width="20.06640625" customWidth="1"/>
    <col min="9" max="9" width="42.3984375" customWidth="1"/>
    <col min="10" max="10" width="15.46484375" customWidth="1"/>
    <col min="11" max="11" width="52.265625" bestFit="1" customWidth="1"/>
    <col min="12" max="12" width="20.73046875" customWidth="1"/>
    <col min="13" max="13" width="48.265625" bestFit="1" customWidth="1"/>
    <col min="14" max="14" width="25.19921875" bestFit="1" customWidth="1"/>
    <col min="15" max="15" width="52.265625" bestFit="1" customWidth="1"/>
    <col min="16" max="16" width="6.19921875" bestFit="1" customWidth="1"/>
    <col min="17" max="17" width="8.265625" bestFit="1" customWidth="1"/>
    <col min="18" max="18" width="5.19921875" bestFit="1" customWidth="1"/>
    <col min="19" max="19" width="13.9296875" bestFit="1" customWidth="1"/>
    <col min="20" max="20" width="16.265625" customWidth="1"/>
    <col min="21" max="21" width="13.9296875" customWidth="1"/>
    <col min="22" max="22" width="15" customWidth="1"/>
    <col min="23" max="23" width="13.9296875" customWidth="1"/>
    <col min="24" max="24" width="20.73046875" customWidth="1"/>
    <col min="25" max="25" width="17.6640625" customWidth="1"/>
    <col min="26" max="26" width="13.9296875" customWidth="1"/>
    <col min="27" max="28" width="13.9296875" customWidth="1" outlineLevel="1"/>
    <col min="29" max="29" width="16.796875" customWidth="1" outlineLevel="1"/>
    <col min="30" max="30" width="15.53125" customWidth="1" outlineLevel="1"/>
    <col min="31" max="31" width="12.796875" customWidth="1" outlineLevel="1"/>
    <col min="32" max="32" width="9.06640625" customWidth="1" outlineLevel="1"/>
    <col min="33" max="33" width="13.59765625" customWidth="1" outlineLevel="1"/>
    <col min="36" max="36" width="8.06640625" customWidth="1"/>
    <col min="37" max="37" width="16.1328125" bestFit="1" customWidth="1"/>
    <col min="38" max="38" width="19" bestFit="1" customWidth="1"/>
    <col min="39" max="39" width="18.1328125" bestFit="1" customWidth="1"/>
    <col min="40" max="40" width="9.265625" bestFit="1" customWidth="1"/>
    <col min="41" max="41" width="12.265625" bestFit="1" customWidth="1"/>
    <col min="42" max="42" width="10.19921875" bestFit="1" customWidth="1"/>
    <col min="43" max="56" width="19" bestFit="1" customWidth="1"/>
    <col min="57" max="57" width="25.59765625" bestFit="1" customWidth="1"/>
    <col min="58" max="58" width="24.6640625" bestFit="1" customWidth="1"/>
    <col min="59" max="59" width="15.73046875" bestFit="1" customWidth="1"/>
    <col min="60" max="60" width="18.796875" bestFit="1" customWidth="1"/>
    <col min="61" max="61" width="16.796875" bestFit="1" customWidth="1"/>
  </cols>
  <sheetData>
    <row r="1" spans="1:42" x14ac:dyDescent="0.45">
      <c r="A1" t="s">
        <v>905</v>
      </c>
      <c r="U1" t="s">
        <v>846</v>
      </c>
      <c r="V1" t="s">
        <v>848</v>
      </c>
      <c r="W1" t="s">
        <v>849</v>
      </c>
      <c r="X1" t="s">
        <v>850</v>
      </c>
    </row>
    <row r="2" spans="1:42" s="16" customFormat="1" ht="42.75" x14ac:dyDescent="0.45">
      <c r="A2" s="20" t="s">
        <v>907</v>
      </c>
      <c r="B2" s="20" t="s">
        <v>906</v>
      </c>
      <c r="C2" s="20" t="s">
        <v>908</v>
      </c>
      <c r="D2" s="20" t="s">
        <v>909</v>
      </c>
      <c r="E2" s="20" t="s">
        <v>910</v>
      </c>
      <c r="F2" s="20" t="s">
        <v>911</v>
      </c>
      <c r="G2" s="20" t="s">
        <v>912</v>
      </c>
      <c r="I2" s="16" t="s">
        <v>480</v>
      </c>
      <c r="J2" s="16" t="s">
        <v>853</v>
      </c>
      <c r="K2" s="16" t="s">
        <v>852</v>
      </c>
      <c r="L2" s="16" t="s">
        <v>869</v>
      </c>
      <c r="M2" s="16" t="s">
        <v>847</v>
      </c>
      <c r="N2" s="21" t="s">
        <v>902</v>
      </c>
      <c r="O2" s="16" t="s">
        <v>855</v>
      </c>
      <c r="P2" s="16" t="s">
        <v>846</v>
      </c>
      <c r="Q2" s="16" t="s">
        <v>848</v>
      </c>
      <c r="R2" s="16" t="s">
        <v>849</v>
      </c>
      <c r="S2" s="16" t="s">
        <v>850</v>
      </c>
      <c r="T2" s="16" t="s">
        <v>861</v>
      </c>
      <c r="U2" s="16" t="s">
        <v>875</v>
      </c>
      <c r="V2" s="16" t="s">
        <v>876</v>
      </c>
      <c r="W2" s="16" t="s">
        <v>877</v>
      </c>
      <c r="X2" s="16" t="s">
        <v>878</v>
      </c>
      <c r="Y2" s="16" t="s">
        <v>874</v>
      </c>
      <c r="Z2" s="16" t="s">
        <v>870</v>
      </c>
      <c r="AA2" s="16" t="s">
        <v>871</v>
      </c>
      <c r="AB2" s="16" t="s">
        <v>872</v>
      </c>
      <c r="AC2" s="16" t="s">
        <v>873</v>
      </c>
      <c r="AD2" s="16" t="s">
        <v>856</v>
      </c>
      <c r="AE2" s="16" t="s">
        <v>857</v>
      </c>
      <c r="AF2" s="16" t="s">
        <v>858</v>
      </c>
      <c r="AG2" s="16" t="s">
        <v>859</v>
      </c>
      <c r="AH2" s="16" t="s">
        <v>860</v>
      </c>
      <c r="AI2" s="16" t="s">
        <v>903</v>
      </c>
      <c r="AK2" s="22" t="s">
        <v>864</v>
      </c>
      <c r="AL2" s="16" t="s">
        <v>863</v>
      </c>
      <c r="AM2" s="16" t="s">
        <v>865</v>
      </c>
      <c r="AN2" s="16" t="s">
        <v>866</v>
      </c>
      <c r="AO2" s="16" t="s">
        <v>867</v>
      </c>
      <c r="AP2" s="16" t="s">
        <v>868</v>
      </c>
    </row>
    <row r="3" spans="1:42" x14ac:dyDescent="0.45">
      <c r="A3">
        <v>1</v>
      </c>
      <c r="B3" t="str">
        <f>Analiza_wRankingach[[#This Row],[Nazwa uczelni]]</f>
        <v>Harvard University</v>
      </c>
      <c r="C3">
        <f>Analiza_wRankingach[[#This Row],[WartośćKontrolna]]</f>
        <v>9</v>
      </c>
      <c r="D3">
        <f>Analiza_wRankingach[[#This Row],[THE_RV]]</f>
        <v>2</v>
      </c>
      <c r="E3">
        <f>Analiza_wRankingach[[#This Row],[ARWU_RV]]</f>
        <v>1</v>
      </c>
      <c r="F3">
        <f>Analiza_wRankingach[[#This Row],[QS_RV]]</f>
        <v>5</v>
      </c>
      <c r="G3">
        <f>Analiza_wRankingach[[#This Row],[Webometrics_RV]]</f>
        <v>1</v>
      </c>
      <c r="I3" t="s">
        <v>8</v>
      </c>
      <c r="J3">
        <v>1</v>
      </c>
      <c r="K3" t="s">
        <v>8</v>
      </c>
      <c r="L3">
        <v>1</v>
      </c>
      <c r="M3" t="s">
        <v>848</v>
      </c>
      <c r="N3" s="15">
        <v>250</v>
      </c>
      <c r="O3" t="s">
        <v>8</v>
      </c>
      <c r="P3">
        <f>IF(SUMIFS(StandardName[IDinTheRanking],StandardName[StandardizedName],Analiza_wRankingach[[#This Row],[Nazwa uczelni]],StandardName[Ranking],"=THE")&gt;0,1,0)</f>
        <v>1</v>
      </c>
      <c r="Q3">
        <f>IF(SUMIFS(StandardName[IDinTheRanking],StandardName[StandardizedName],Analiza_wRankingach[[#This Row],[Nazwa uczelni]],StandardName[Ranking],"=ARWU")&gt;0,1,0)</f>
        <v>1</v>
      </c>
      <c r="R3">
        <f>IF(SUMIFS(StandardName[IDinTheRanking],StandardName[StandardizedName],Analiza_wRankingach[[#This Row],[Nazwa uczelni]],StandardName[Ranking],"=QS")&gt;0,1,0)</f>
        <v>1</v>
      </c>
      <c r="S3">
        <f>IF(SUMIFS(StandardName[IDinTheRanking],StandardName[StandardizedName],Analiza_wRankingach[[#This Row],[Nazwa uczelni]],StandardName[Ranking],"=Webometrics")&gt;0,1,0)</f>
        <v>1</v>
      </c>
      <c r="T3">
        <f>SUM(Analiza_wRankingach[[#This Row],[THE]:[Webometrics]])</f>
        <v>4</v>
      </c>
      <c r="U3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</v>
      </c>
      <c r="V3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1</v>
      </c>
      <c r="W3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5</v>
      </c>
      <c r="X3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1</v>
      </c>
      <c r="Y3">
        <f>SUM(Analiza_wRankingach[[#This Row],[THE_RV1000]:[Webometrics_RV1000]])</f>
        <v>9</v>
      </c>
      <c r="Z3">
        <f>SUMIFS(StandardName[RankValueInTheRanking],StandardName[StandardizedName],Analiza_wRankingach[[#This Row],[Nazwa uczelni]],StandardName[Ranking],"=THE")</f>
        <v>2</v>
      </c>
      <c r="AA3">
        <f>SUMIFS(StandardName[RankValueInTheRanking],StandardName[StandardizedName],Analiza_wRankingach[[#This Row],[Nazwa uczelni]],StandardName[Ranking],"=ARWU")</f>
        <v>1</v>
      </c>
      <c r="AB3">
        <f>SUMIFS(StandardName[RankValueInTheRanking],StandardName[StandardizedName],Analiza_wRankingach[[#This Row],[Nazwa uczelni]],StandardName[Ranking],"=QS")</f>
        <v>5</v>
      </c>
      <c r="AC3">
        <f>SUMIFS(StandardName[RankValueInTheRanking],StandardName[StandardizedName],Analiza_wRankingach[[#This Row],[Nazwa uczelni]],StandardName[Ranking],"=Webometrics")</f>
        <v>1</v>
      </c>
      <c r="AD3">
        <f>SUMIFS(StandardName[IDinTheRanking],StandardName[StandardizedName],Analiza_wRankingach[[#This Row],[Nazwa uczelni]],StandardName[Ranking],"=THE")</f>
        <v>2</v>
      </c>
      <c r="AE3">
        <f>SUMIFS(StandardName[IDinTheRanking],StandardName[StandardizedName],Analiza_wRankingach[[#This Row],[Nazwa uczelni]],StandardName[Ranking],"=ARWU")</f>
        <v>1</v>
      </c>
      <c r="AF3">
        <f>SUMIFS(StandardName[IDinTheRanking],StandardName[StandardizedName],Analiza_wRankingach[[#This Row],[Nazwa uczelni]],StandardName[Ranking],"=QS")</f>
        <v>5</v>
      </c>
      <c r="AG3">
        <f>SUMIFS(StandardName[IDinTheRanking],StandardName[StandardizedName],Analiza_wRankingach[[#This Row],[Nazwa uczelni]],StandardName[Ranking],"=Webometrics")</f>
        <v>1</v>
      </c>
      <c r="AH3">
        <f>SUM(Analiza_wRankingach[[#This Row],[THE_ID]:[Webometrics_ID]])</f>
        <v>9</v>
      </c>
      <c r="AI3" t="str">
        <f>IF(Analiza_wRankingach[[#This Row],[LiczbaWystąpień]]&gt;=T4,"OK","UWAGA")</f>
        <v>OK</v>
      </c>
      <c r="AK3" s="5">
        <v>1</v>
      </c>
      <c r="AL3">
        <v>68</v>
      </c>
      <c r="AM3">
        <v>19</v>
      </c>
      <c r="AN3">
        <v>21</v>
      </c>
      <c r="AO3">
        <v>19</v>
      </c>
      <c r="AP3">
        <v>9</v>
      </c>
    </row>
    <row r="4" spans="1:42" x14ac:dyDescent="0.45">
      <c r="A4">
        <v>2</v>
      </c>
      <c r="B4" t="str">
        <f>Analiza_wRankingach[[#This Row],[Nazwa uczelni]]</f>
        <v>Stanford University</v>
      </c>
      <c r="C4">
        <f>Analiza_wRankingach[[#This Row],[WartośćKontrolna]]</f>
        <v>10</v>
      </c>
      <c r="D4">
        <f>Analiza_wRankingach[[#This Row],[THE_RV]]</f>
        <v>3</v>
      </c>
      <c r="E4">
        <f>Analiza_wRankingach[[#This Row],[ARWU_RV]]</f>
        <v>2</v>
      </c>
      <c r="F4">
        <f>Analiza_wRankingach[[#This Row],[QS_RV]]</f>
        <v>3</v>
      </c>
      <c r="G4">
        <f>Analiza_wRankingach[[#This Row],[Webometrics_RV]]</f>
        <v>2</v>
      </c>
      <c r="I4" t="s">
        <v>21</v>
      </c>
      <c r="J4">
        <v>2</v>
      </c>
      <c r="K4" t="s">
        <v>21</v>
      </c>
      <c r="L4">
        <v>2</v>
      </c>
      <c r="M4" t="s">
        <v>848</v>
      </c>
      <c r="O4" t="s">
        <v>21</v>
      </c>
      <c r="P4">
        <f>IF(SUMIFS(StandardName[IDinTheRanking],StandardName[StandardizedName],Analiza_wRankingach[[#This Row],[Nazwa uczelni]],StandardName[Ranking],"=THE")&gt;0,1,0)</f>
        <v>1</v>
      </c>
      <c r="Q4">
        <f>IF(SUMIFS(StandardName[IDinTheRanking],StandardName[StandardizedName],Analiza_wRankingach[[#This Row],[Nazwa uczelni]],StandardName[Ranking],"=ARWU")&gt;0,1,0)</f>
        <v>1</v>
      </c>
      <c r="R4">
        <f>IF(SUMIFS(StandardName[IDinTheRanking],StandardName[StandardizedName],Analiza_wRankingach[[#This Row],[Nazwa uczelni]],StandardName[Ranking],"=QS")&gt;0,1,0)</f>
        <v>1</v>
      </c>
      <c r="S4">
        <f>IF(SUMIFS(StandardName[IDinTheRanking],StandardName[StandardizedName],Analiza_wRankingach[[#This Row],[Nazwa uczelni]],StandardName[Ranking],"=Webometrics")&gt;0,1,0)</f>
        <v>1</v>
      </c>
      <c r="T4">
        <f>SUM(Analiza_wRankingach[[#This Row],[THE]:[Webometrics]])</f>
        <v>4</v>
      </c>
      <c r="U4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3</v>
      </c>
      <c r="V4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</v>
      </c>
      <c r="W4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3</v>
      </c>
      <c r="X4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</v>
      </c>
      <c r="Y4">
        <f>SUM(Analiza_wRankingach[[#This Row],[THE_RV1000]:[Webometrics_RV1000]])</f>
        <v>10</v>
      </c>
      <c r="Z4">
        <f>SUMIFS(StandardName[RankValueInTheRanking],StandardName[StandardizedName],Analiza_wRankingach[[#This Row],[Nazwa uczelni]],StandardName[Ranking],"=THE")</f>
        <v>3</v>
      </c>
      <c r="AA4">
        <f>SUMIFS(StandardName[RankValueInTheRanking],StandardName[StandardizedName],Analiza_wRankingach[[#This Row],[Nazwa uczelni]],StandardName[Ranking],"=ARWU")</f>
        <v>2</v>
      </c>
      <c r="AB4">
        <f>SUMIFS(StandardName[RankValueInTheRanking],StandardName[StandardizedName],Analiza_wRankingach[[#This Row],[Nazwa uczelni]],StandardName[Ranking],"=QS")</f>
        <v>3</v>
      </c>
      <c r="AC4">
        <f>SUMIFS(StandardName[RankValueInTheRanking],StandardName[StandardizedName],Analiza_wRankingach[[#This Row],[Nazwa uczelni]],StandardName[Ranking],"=Webometrics")</f>
        <v>2</v>
      </c>
      <c r="AD4">
        <f>SUMIFS(StandardName[IDinTheRanking],StandardName[StandardizedName],Analiza_wRankingach[[#This Row],[Nazwa uczelni]],StandardName[Ranking],"=THE")</f>
        <v>4</v>
      </c>
      <c r="AE4">
        <f>SUMIFS(StandardName[IDinTheRanking],StandardName[StandardizedName],Analiza_wRankingach[[#This Row],[Nazwa uczelni]],StandardName[Ranking],"=ARWU")</f>
        <v>2</v>
      </c>
      <c r="AF4">
        <f>SUMIFS(StandardName[IDinTheRanking],StandardName[StandardizedName],Analiza_wRankingach[[#This Row],[Nazwa uczelni]],StandardName[Ranking],"=QS")</f>
        <v>3</v>
      </c>
      <c r="AG4">
        <f>SUMIFS(StandardName[IDinTheRanking],StandardName[StandardizedName],Analiza_wRankingach[[#This Row],[Nazwa uczelni]],StandardName[Ranking],"=Webometrics")</f>
        <v>2</v>
      </c>
      <c r="AH4">
        <f>SUM(Analiza_wRankingach[[#This Row],[THE_ID]:[Webometrics_ID]])</f>
        <v>11</v>
      </c>
      <c r="AI4" t="str">
        <f>IF(Analiza_wRankingach[[#This Row],[LiczbaWystąpień]]&gt;=T5,"OK","UWAGA")</f>
        <v>OK</v>
      </c>
      <c r="AK4" s="5">
        <v>2</v>
      </c>
      <c r="AL4">
        <v>28</v>
      </c>
      <c r="AM4">
        <v>14</v>
      </c>
      <c r="AN4">
        <v>12</v>
      </c>
      <c r="AO4">
        <v>13</v>
      </c>
      <c r="AP4">
        <v>17</v>
      </c>
    </row>
    <row r="5" spans="1:42" x14ac:dyDescent="0.45">
      <c r="A5">
        <v>3</v>
      </c>
      <c r="B5" t="str">
        <f>Analiza_wRankingach[[#This Row],[Nazwa uczelni]]</f>
        <v>Massachusetts Institute of Technology</v>
      </c>
      <c r="C5">
        <f>Analiza_wRankingach[[#This Row],[WartośćKontrolna]]</f>
        <v>12</v>
      </c>
      <c r="D5">
        <f>Analiza_wRankingach[[#This Row],[THE_RV]]</f>
        <v>5</v>
      </c>
      <c r="E5">
        <f>Analiza_wRankingach[[#This Row],[ARWU_RV]]</f>
        <v>3</v>
      </c>
      <c r="F5">
        <f>Analiza_wRankingach[[#This Row],[QS_RV]]</f>
        <v>1</v>
      </c>
      <c r="G5">
        <f>Analiza_wRankingach[[#This Row],[Webometrics_RV]]</f>
        <v>3</v>
      </c>
      <c r="I5" t="s">
        <v>493</v>
      </c>
      <c r="J5">
        <v>3</v>
      </c>
      <c r="K5" t="s">
        <v>27</v>
      </c>
      <c r="L5">
        <v>3</v>
      </c>
      <c r="M5" t="s">
        <v>848</v>
      </c>
      <c r="O5" t="s">
        <v>27</v>
      </c>
      <c r="P5">
        <f>IF(SUMIFS(StandardName[IDinTheRanking],StandardName[StandardizedName],Analiza_wRankingach[[#This Row],[Nazwa uczelni]],StandardName[Ranking],"=THE")&gt;0,1,0)</f>
        <v>1</v>
      </c>
      <c r="Q5">
        <f>IF(SUMIFS(StandardName[IDinTheRanking],StandardName[StandardizedName],Analiza_wRankingach[[#This Row],[Nazwa uczelni]],StandardName[Ranking],"=ARWU")&gt;0,1,0)</f>
        <v>1</v>
      </c>
      <c r="R5">
        <f>IF(SUMIFS(StandardName[IDinTheRanking],StandardName[StandardizedName],Analiza_wRankingach[[#This Row],[Nazwa uczelni]],StandardName[Ranking],"=QS")&gt;0,1,0)</f>
        <v>1</v>
      </c>
      <c r="S5">
        <f>IF(SUMIFS(StandardName[IDinTheRanking],StandardName[StandardizedName],Analiza_wRankingach[[#This Row],[Nazwa uczelni]],StandardName[Ranking],"=Webometrics")&gt;0,1,0)</f>
        <v>1</v>
      </c>
      <c r="T5">
        <f>SUM(Analiza_wRankingach[[#This Row],[THE]:[Webometrics]])</f>
        <v>4</v>
      </c>
      <c r="U5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5</v>
      </c>
      <c r="V5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3</v>
      </c>
      <c r="W5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1</v>
      </c>
      <c r="X5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3</v>
      </c>
      <c r="Y5">
        <f>SUM(Analiza_wRankingach[[#This Row],[THE_RV1000]:[Webometrics_RV1000]])</f>
        <v>12</v>
      </c>
      <c r="Z5">
        <f>SUMIFS(StandardName[RankValueInTheRanking],StandardName[StandardizedName],Analiza_wRankingach[[#This Row],[Nazwa uczelni]],StandardName[Ranking],"=THE")</f>
        <v>5</v>
      </c>
      <c r="AA5">
        <f>SUMIFS(StandardName[RankValueInTheRanking],StandardName[StandardizedName],Analiza_wRankingach[[#This Row],[Nazwa uczelni]],StandardName[Ranking],"=ARWU")</f>
        <v>3</v>
      </c>
      <c r="AB5">
        <f>SUMIFS(StandardName[RankValueInTheRanking],StandardName[StandardizedName],Analiza_wRankingach[[#This Row],[Nazwa uczelni]],StandardName[Ranking],"=QS")</f>
        <v>1</v>
      </c>
      <c r="AC5">
        <f>SUMIFS(StandardName[RankValueInTheRanking],StandardName[StandardizedName],Analiza_wRankingach[[#This Row],[Nazwa uczelni]],StandardName[Ranking],"=Webometrics")</f>
        <v>3</v>
      </c>
      <c r="AD5">
        <f>SUMIFS(StandardName[IDinTheRanking],StandardName[StandardizedName],Analiza_wRankingach[[#This Row],[Nazwa uczelni]],StandardName[Ranking],"=THE")</f>
        <v>5</v>
      </c>
      <c r="AE5">
        <f>SUMIFS(StandardName[IDinTheRanking],StandardName[StandardizedName],Analiza_wRankingach[[#This Row],[Nazwa uczelni]],StandardName[Ranking],"=ARWU")</f>
        <v>3</v>
      </c>
      <c r="AF5">
        <f>SUMIFS(StandardName[IDinTheRanking],StandardName[StandardizedName],Analiza_wRankingach[[#This Row],[Nazwa uczelni]],StandardName[Ranking],"=QS")</f>
        <v>1</v>
      </c>
      <c r="AG5">
        <f>SUMIFS(StandardName[IDinTheRanking],StandardName[StandardizedName],Analiza_wRankingach[[#This Row],[Nazwa uczelni]],StandardName[Ranking],"=Webometrics")</f>
        <v>3</v>
      </c>
      <c r="AH5">
        <f>SUM(Analiza_wRankingach[[#This Row],[THE_ID]:[Webometrics_ID]])</f>
        <v>12</v>
      </c>
      <c r="AI5" t="str">
        <f>IF(Analiza_wRankingach[[#This Row],[LiczbaWystąpień]]&gt;=T6,"OK","UWAGA")</f>
        <v>OK</v>
      </c>
      <c r="AK5" s="5">
        <v>3</v>
      </c>
      <c r="AL5">
        <v>24</v>
      </c>
      <c r="AM5">
        <v>16</v>
      </c>
      <c r="AN5">
        <v>16</v>
      </c>
      <c r="AO5">
        <v>17</v>
      </c>
      <c r="AP5">
        <v>23</v>
      </c>
    </row>
    <row r="6" spans="1:42" x14ac:dyDescent="0.45">
      <c r="A6">
        <v>4</v>
      </c>
      <c r="B6" t="str">
        <f>Analiza_wRankingach[[#This Row],[Nazwa uczelni]]</f>
        <v>University of Oxford</v>
      </c>
      <c r="C6">
        <f>Analiza_wRankingach[[#This Row],[WartośćKontrolna]]</f>
        <v>17</v>
      </c>
      <c r="D6">
        <f>Analiza_wRankingach[[#This Row],[THE_RV]]</f>
        <v>1</v>
      </c>
      <c r="E6">
        <f>Analiza_wRankingach[[#This Row],[ARWU_RV]]</f>
        <v>7</v>
      </c>
      <c r="F6">
        <f>Analiza_wRankingach[[#This Row],[QS_RV]]</f>
        <v>4</v>
      </c>
      <c r="G6">
        <f>Analiza_wRankingach[[#This Row],[Webometrics_RV]]</f>
        <v>5</v>
      </c>
      <c r="I6" t="s">
        <v>15</v>
      </c>
      <c r="J6">
        <v>4</v>
      </c>
      <c r="K6" t="s">
        <v>15</v>
      </c>
      <c r="L6">
        <v>4</v>
      </c>
      <c r="M6" t="s">
        <v>848</v>
      </c>
      <c r="O6" t="s">
        <v>0</v>
      </c>
      <c r="P6">
        <f>IF(SUMIFS(StandardName[IDinTheRanking],StandardName[StandardizedName],Analiza_wRankingach[[#This Row],[Nazwa uczelni]],StandardName[Ranking],"=THE")&gt;0,1,0)</f>
        <v>1</v>
      </c>
      <c r="Q6">
        <f>IF(SUMIFS(StandardName[IDinTheRanking],StandardName[StandardizedName],Analiza_wRankingach[[#This Row],[Nazwa uczelni]],StandardName[Ranking],"=ARWU")&gt;0,1,0)</f>
        <v>1</v>
      </c>
      <c r="R6">
        <f>IF(SUMIFS(StandardName[IDinTheRanking],StandardName[StandardizedName],Analiza_wRankingach[[#This Row],[Nazwa uczelni]],StandardName[Ranking],"=QS")&gt;0,1,0)</f>
        <v>1</v>
      </c>
      <c r="S6">
        <f>IF(SUMIFS(StandardName[IDinTheRanking],StandardName[StandardizedName],Analiza_wRankingach[[#This Row],[Nazwa uczelni]],StandardName[Ranking],"=Webometrics")&gt;0,1,0)</f>
        <v>1</v>
      </c>
      <c r="T6">
        <f>SUM(Analiza_wRankingach[[#This Row],[THE]:[Webometrics]])</f>
        <v>4</v>
      </c>
      <c r="U6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1</v>
      </c>
      <c r="V6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7</v>
      </c>
      <c r="W6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4</v>
      </c>
      <c r="X6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5</v>
      </c>
      <c r="Y6">
        <f>SUM(Analiza_wRankingach[[#This Row],[THE_RV1000]:[Webometrics_RV1000]])</f>
        <v>17</v>
      </c>
      <c r="Z6">
        <f>SUMIFS(StandardName[RankValueInTheRanking],StandardName[StandardizedName],Analiza_wRankingach[[#This Row],[Nazwa uczelni]],StandardName[Ranking],"=THE")</f>
        <v>1</v>
      </c>
      <c r="AA6">
        <f>SUMIFS(StandardName[RankValueInTheRanking],StandardName[StandardizedName],Analiza_wRankingach[[#This Row],[Nazwa uczelni]],StandardName[Ranking],"=ARWU")</f>
        <v>7</v>
      </c>
      <c r="AB6">
        <f>SUMIFS(StandardName[RankValueInTheRanking],StandardName[StandardizedName],Analiza_wRankingach[[#This Row],[Nazwa uczelni]],StandardName[Ranking],"=QS")</f>
        <v>4</v>
      </c>
      <c r="AC6">
        <f>SUMIFS(StandardName[RankValueInTheRanking],StandardName[StandardizedName],Analiza_wRankingach[[#This Row],[Nazwa uczelni]],StandardName[Ranking],"=Webometrics")</f>
        <v>5</v>
      </c>
      <c r="AD6">
        <f>SUMIFS(StandardName[IDinTheRanking],StandardName[StandardizedName],Analiza_wRankingach[[#This Row],[Nazwa uczelni]],StandardName[Ranking],"=THE")</f>
        <v>1</v>
      </c>
      <c r="AE6">
        <f>SUMIFS(StandardName[IDinTheRanking],StandardName[StandardizedName],Analiza_wRankingach[[#This Row],[Nazwa uczelni]],StandardName[Ranking],"=ARWU")</f>
        <v>7</v>
      </c>
      <c r="AF6">
        <f>SUMIFS(StandardName[IDinTheRanking],StandardName[StandardizedName],Analiza_wRankingach[[#This Row],[Nazwa uczelni]],StandardName[Ranking],"=QS")</f>
        <v>4</v>
      </c>
      <c r="AG6">
        <f>SUMIFS(StandardName[IDinTheRanking],StandardName[StandardizedName],Analiza_wRankingach[[#This Row],[Nazwa uczelni]],StandardName[Ranking],"=Webometrics")</f>
        <v>5</v>
      </c>
      <c r="AH6">
        <f>SUM(Analiza_wRankingach[[#This Row],[THE_ID]:[Webometrics_ID]])</f>
        <v>17</v>
      </c>
      <c r="AI6" t="str">
        <f>IF(Analiza_wRankingach[[#This Row],[LiczbaWystąpień]]&gt;=T7,"OK","UWAGA")</f>
        <v>OK</v>
      </c>
      <c r="AK6" s="5">
        <v>4</v>
      </c>
      <c r="AL6">
        <v>51</v>
      </c>
      <c r="AM6">
        <v>51</v>
      </c>
      <c r="AN6">
        <v>51</v>
      </c>
      <c r="AO6">
        <v>51</v>
      </c>
      <c r="AP6">
        <v>51</v>
      </c>
    </row>
    <row r="7" spans="1:42" x14ac:dyDescent="0.45">
      <c r="A7">
        <v>5</v>
      </c>
      <c r="B7" t="str">
        <f>Analiza_wRankingach[[#This Row],[Nazwa uczelni]]</f>
        <v>University of Cambridge</v>
      </c>
      <c r="C7">
        <f>Analiza_wRankingach[[#This Row],[WartośćKontrolna]]</f>
        <v>21</v>
      </c>
      <c r="D7">
        <f>Analiza_wRankingach[[#This Row],[THE_RV]]</f>
        <v>3</v>
      </c>
      <c r="E7">
        <f>Analiza_wRankingach[[#This Row],[ARWU_RV]]</f>
        <v>4</v>
      </c>
      <c r="F7">
        <f>Analiza_wRankingach[[#This Row],[QS_RV]]</f>
        <v>2</v>
      </c>
      <c r="G7">
        <f>Analiza_wRankingach[[#This Row],[Webometrics_RV]]</f>
        <v>12</v>
      </c>
      <c r="I7" t="s">
        <v>43</v>
      </c>
      <c r="J7">
        <v>5</v>
      </c>
      <c r="K7" t="s">
        <v>792</v>
      </c>
      <c r="L7">
        <v>5</v>
      </c>
      <c r="M7" t="s">
        <v>848</v>
      </c>
      <c r="O7" t="s">
        <v>15</v>
      </c>
      <c r="P7">
        <f>IF(SUMIFS(StandardName[IDinTheRanking],StandardName[StandardizedName],Analiza_wRankingach[[#This Row],[Nazwa uczelni]],StandardName[Ranking],"=THE")&gt;0,1,0)</f>
        <v>1</v>
      </c>
      <c r="Q7">
        <f>IF(SUMIFS(StandardName[IDinTheRanking],StandardName[StandardizedName],Analiza_wRankingach[[#This Row],[Nazwa uczelni]],StandardName[Ranking],"=ARWU")&gt;0,1,0)</f>
        <v>1</v>
      </c>
      <c r="R7">
        <f>IF(SUMIFS(StandardName[IDinTheRanking],StandardName[StandardizedName],Analiza_wRankingach[[#This Row],[Nazwa uczelni]],StandardName[Ranking],"=QS")&gt;0,1,0)</f>
        <v>1</v>
      </c>
      <c r="S7">
        <f>IF(SUMIFS(StandardName[IDinTheRanking],StandardName[StandardizedName],Analiza_wRankingach[[#This Row],[Nazwa uczelni]],StandardName[Ranking],"=Webometrics")&gt;0,1,0)</f>
        <v>1</v>
      </c>
      <c r="T7">
        <f>SUM(Analiza_wRankingach[[#This Row],[THE]:[Webometrics]])</f>
        <v>4</v>
      </c>
      <c r="U7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3</v>
      </c>
      <c r="V7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4</v>
      </c>
      <c r="W7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</v>
      </c>
      <c r="X7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12</v>
      </c>
      <c r="Y7">
        <f>SUM(Analiza_wRankingach[[#This Row],[THE_RV1000]:[Webometrics_RV1000]])</f>
        <v>21</v>
      </c>
      <c r="Z7">
        <f>SUMIFS(StandardName[RankValueInTheRanking],StandardName[StandardizedName],Analiza_wRankingach[[#This Row],[Nazwa uczelni]],StandardName[Ranking],"=THE")</f>
        <v>3</v>
      </c>
      <c r="AA7">
        <f>SUMIFS(StandardName[RankValueInTheRanking],StandardName[StandardizedName],Analiza_wRankingach[[#This Row],[Nazwa uczelni]],StandardName[Ranking],"=ARWU")</f>
        <v>4</v>
      </c>
      <c r="AB7">
        <f>SUMIFS(StandardName[RankValueInTheRanking],StandardName[StandardizedName],Analiza_wRankingach[[#This Row],[Nazwa uczelni]],StandardName[Ranking],"=QS")</f>
        <v>2</v>
      </c>
      <c r="AC7">
        <f>SUMIFS(StandardName[RankValueInTheRanking],StandardName[StandardizedName],Analiza_wRankingach[[#This Row],[Nazwa uczelni]],StandardName[Ranking],"=Webometrics")</f>
        <v>12</v>
      </c>
      <c r="AD7">
        <f>SUMIFS(StandardName[IDinTheRanking],StandardName[StandardizedName],Analiza_wRankingach[[#This Row],[Nazwa uczelni]],StandardName[Ranking],"=THE")</f>
        <v>3</v>
      </c>
      <c r="AE7">
        <f>SUMIFS(StandardName[IDinTheRanking],StandardName[StandardizedName],Analiza_wRankingach[[#This Row],[Nazwa uczelni]],StandardName[Ranking],"=ARWU")</f>
        <v>4</v>
      </c>
      <c r="AF7">
        <f>SUMIFS(StandardName[IDinTheRanking],StandardName[StandardizedName],Analiza_wRankingach[[#This Row],[Nazwa uczelni]],StandardName[Ranking],"=QS")</f>
        <v>2</v>
      </c>
      <c r="AG7">
        <f>SUMIFS(StandardName[IDinTheRanking],StandardName[StandardizedName],Analiza_wRankingach[[#This Row],[Nazwa uczelni]],StandardName[Ranking],"=Webometrics")</f>
        <v>12</v>
      </c>
      <c r="AH7">
        <f>SUM(Analiza_wRankingach[[#This Row],[THE_ID]:[Webometrics_ID]])</f>
        <v>21</v>
      </c>
      <c r="AI7" t="str">
        <f>IF(Analiza_wRankingach[[#This Row],[LiczbaWystąpień]]&gt;=T8,"OK","UWAGA")</f>
        <v>OK</v>
      </c>
      <c r="AK7" s="5" t="s">
        <v>862</v>
      </c>
      <c r="AL7">
        <v>171</v>
      </c>
      <c r="AM7">
        <v>100</v>
      </c>
      <c r="AN7">
        <v>100</v>
      </c>
      <c r="AO7">
        <v>100</v>
      </c>
      <c r="AP7">
        <v>100</v>
      </c>
    </row>
    <row r="8" spans="1:42" x14ac:dyDescent="0.45">
      <c r="A8">
        <v>6</v>
      </c>
      <c r="B8" t="str">
        <f>Analiza_wRankingach[[#This Row],[Nazwa uczelni]]</f>
        <v>University of California Berkeley</v>
      </c>
      <c r="C8">
        <f>Analiza_wRankingach[[#This Row],[WartośćKontrolna]]</f>
        <v>44</v>
      </c>
      <c r="D8">
        <f>Analiza_wRankingach[[#This Row],[THE_RV]]</f>
        <v>8</v>
      </c>
      <c r="E8">
        <f>Analiza_wRankingach[[#This Row],[ARWU_RV]]</f>
        <v>5</v>
      </c>
      <c r="F8">
        <f>Analiza_wRankingach[[#This Row],[QS_RV]]</f>
        <v>27</v>
      </c>
      <c r="G8">
        <f>Analiza_wRankingach[[#This Row],[Webometrics_RV]]</f>
        <v>4</v>
      </c>
      <c r="I8" t="s">
        <v>36</v>
      </c>
      <c r="J8">
        <v>6</v>
      </c>
      <c r="K8" t="s">
        <v>36</v>
      </c>
      <c r="L8">
        <v>6</v>
      </c>
      <c r="M8" t="s">
        <v>848</v>
      </c>
      <c r="O8" t="s">
        <v>792</v>
      </c>
      <c r="P8">
        <f>IF(SUMIFS(StandardName[IDinTheRanking],StandardName[StandardizedName],Analiza_wRankingach[[#This Row],[Nazwa uczelni]],StandardName[Ranking],"=THE")&gt;0,1,0)</f>
        <v>1</v>
      </c>
      <c r="Q8">
        <f>IF(SUMIFS(StandardName[IDinTheRanking],StandardName[StandardizedName],Analiza_wRankingach[[#This Row],[Nazwa uczelni]],StandardName[Ranking],"=ARWU")&gt;0,1,0)</f>
        <v>1</v>
      </c>
      <c r="R8">
        <f>IF(SUMIFS(StandardName[IDinTheRanking],StandardName[StandardizedName],Analiza_wRankingach[[#This Row],[Nazwa uczelni]],StandardName[Ranking],"=QS")&gt;0,1,0)</f>
        <v>1</v>
      </c>
      <c r="S8">
        <f>IF(SUMIFS(StandardName[IDinTheRanking],StandardName[StandardizedName],Analiza_wRankingach[[#This Row],[Nazwa uczelni]],StandardName[Ranking],"=Webometrics")&gt;0,1,0)</f>
        <v>1</v>
      </c>
      <c r="T8">
        <f>SUM(Analiza_wRankingach[[#This Row],[THE]:[Webometrics]])</f>
        <v>4</v>
      </c>
      <c r="U8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8</v>
      </c>
      <c r="V8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5</v>
      </c>
      <c r="W8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27</v>
      </c>
      <c r="X8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4</v>
      </c>
      <c r="Y8">
        <f>SUM(Analiza_wRankingach[[#This Row],[THE_RV1000]:[Webometrics_RV1000]])</f>
        <v>44</v>
      </c>
      <c r="Z8">
        <f>SUMIFS(StandardName[RankValueInTheRanking],StandardName[StandardizedName],Analiza_wRankingach[[#This Row],[Nazwa uczelni]],StandardName[Ranking],"=THE")</f>
        <v>8</v>
      </c>
      <c r="AA8">
        <f>SUMIFS(StandardName[RankValueInTheRanking],StandardName[StandardizedName],Analiza_wRankingach[[#This Row],[Nazwa uczelni]],StandardName[Ranking],"=ARWU")</f>
        <v>5</v>
      </c>
      <c r="AB8">
        <f>SUMIFS(StandardName[RankValueInTheRanking],StandardName[StandardizedName],Analiza_wRankingach[[#This Row],[Nazwa uczelni]],StandardName[Ranking],"=QS")</f>
        <v>27</v>
      </c>
      <c r="AC8">
        <f>SUMIFS(StandardName[RankValueInTheRanking],StandardName[StandardizedName],Analiza_wRankingach[[#This Row],[Nazwa uczelni]],StandardName[Ranking],"=Webometrics")</f>
        <v>4</v>
      </c>
      <c r="AD8">
        <f>SUMIFS(StandardName[IDinTheRanking],StandardName[StandardizedName],Analiza_wRankingach[[#This Row],[Nazwa uczelni]],StandardName[Ranking],"=THE")</f>
        <v>8</v>
      </c>
      <c r="AE8">
        <f>SUMIFS(StandardName[IDinTheRanking],StandardName[StandardizedName],Analiza_wRankingach[[#This Row],[Nazwa uczelni]],StandardName[Ranking],"=ARWU")</f>
        <v>5</v>
      </c>
      <c r="AF8">
        <f>SUMIFS(StandardName[IDinTheRanking],StandardName[StandardizedName],Analiza_wRankingach[[#This Row],[Nazwa uczelni]],StandardName[Ranking],"=QS")</f>
        <v>27</v>
      </c>
      <c r="AG8">
        <f>SUMIFS(StandardName[IDinTheRanking],StandardName[StandardizedName],Analiza_wRankingach[[#This Row],[Nazwa uczelni]],StandardName[Ranking],"=Webometrics")</f>
        <v>4</v>
      </c>
      <c r="AH8">
        <f>SUM(Analiza_wRankingach[[#This Row],[THE_ID]:[Webometrics_ID]])</f>
        <v>44</v>
      </c>
      <c r="AI8" t="str">
        <f>IF(Analiza_wRankingach[[#This Row],[LiczbaWystąpień]]&gt;=T9,"OK","UWAGA")</f>
        <v>OK</v>
      </c>
    </row>
    <row r="9" spans="1:42" x14ac:dyDescent="0.45">
      <c r="A9">
        <v>7</v>
      </c>
      <c r="B9" t="str">
        <f>Analiza_wRankingach[[#This Row],[Nazwa uczelni]]</f>
        <v>Columbia University</v>
      </c>
      <c r="C9">
        <f>Analiza_wRankingach[[#This Row],[WartośćKontrolna]]</f>
        <v>50</v>
      </c>
      <c r="D9">
        <f>Analiza_wRankingach[[#This Row],[THE_RV]]</f>
        <v>11</v>
      </c>
      <c r="E9">
        <f>Analiza_wRankingach[[#This Row],[ARWU_RV]]</f>
        <v>8</v>
      </c>
      <c r="F9">
        <f>Analiza_wRankingach[[#This Row],[QS_RV]]</f>
        <v>22</v>
      </c>
      <c r="G9">
        <f>Analiza_wRankingach[[#This Row],[Webometrics_RV]]</f>
        <v>9</v>
      </c>
      <c r="I9" t="s">
        <v>0</v>
      </c>
      <c r="J9">
        <v>7</v>
      </c>
      <c r="K9" t="s">
        <v>0</v>
      </c>
      <c r="L9">
        <v>7</v>
      </c>
      <c r="M9" t="s">
        <v>848</v>
      </c>
      <c r="O9" t="s">
        <v>61</v>
      </c>
      <c r="P9">
        <f>IF(SUMIFS(StandardName[IDinTheRanking],StandardName[StandardizedName],Analiza_wRankingach[[#This Row],[Nazwa uczelni]],StandardName[Ranking],"=THE")&gt;0,1,0)</f>
        <v>1</v>
      </c>
      <c r="Q9">
        <f>IF(SUMIFS(StandardName[IDinTheRanking],StandardName[StandardizedName],Analiza_wRankingach[[#This Row],[Nazwa uczelni]],StandardName[Ranking],"=ARWU")&gt;0,1,0)</f>
        <v>1</v>
      </c>
      <c r="R9">
        <f>IF(SUMIFS(StandardName[IDinTheRanking],StandardName[StandardizedName],Analiza_wRankingach[[#This Row],[Nazwa uczelni]],StandardName[Ranking],"=QS")&gt;0,1,0)</f>
        <v>1</v>
      </c>
      <c r="S9">
        <f>IF(SUMIFS(StandardName[IDinTheRanking],StandardName[StandardizedName],Analiza_wRankingach[[#This Row],[Nazwa uczelni]],StandardName[Ranking],"=Webometrics")&gt;0,1,0)</f>
        <v>1</v>
      </c>
      <c r="T9">
        <f>SUM(Analiza_wRankingach[[#This Row],[THE]:[Webometrics]])</f>
        <v>4</v>
      </c>
      <c r="U9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11</v>
      </c>
      <c r="V9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8</v>
      </c>
      <c r="W9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22</v>
      </c>
      <c r="X9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9</v>
      </c>
      <c r="Y9">
        <f>SUM(Analiza_wRankingach[[#This Row],[THE_RV1000]:[Webometrics_RV1000]])</f>
        <v>50</v>
      </c>
      <c r="Z9">
        <f>SUMIFS(StandardName[RankValueInTheRanking],StandardName[StandardizedName],Analiza_wRankingach[[#This Row],[Nazwa uczelni]],StandardName[Ranking],"=THE")</f>
        <v>11</v>
      </c>
      <c r="AA9">
        <f>SUMIFS(StandardName[RankValueInTheRanking],StandardName[StandardizedName],Analiza_wRankingach[[#This Row],[Nazwa uczelni]],StandardName[Ranking],"=ARWU")</f>
        <v>8</v>
      </c>
      <c r="AB9">
        <f>SUMIFS(StandardName[RankValueInTheRanking],StandardName[StandardizedName],Analiza_wRankingach[[#This Row],[Nazwa uczelni]],StandardName[Ranking],"=QS")</f>
        <v>22</v>
      </c>
      <c r="AC9">
        <f>SUMIFS(StandardName[RankValueInTheRanking],StandardName[StandardizedName],Analiza_wRankingach[[#This Row],[Nazwa uczelni]],StandardName[Ranking],"=Webometrics")</f>
        <v>9</v>
      </c>
      <c r="AD9">
        <f>SUMIFS(StandardName[IDinTheRanking],StandardName[StandardizedName],Analiza_wRankingach[[#This Row],[Nazwa uczelni]],StandardName[Ranking],"=THE")</f>
        <v>11</v>
      </c>
      <c r="AE9">
        <f>SUMIFS(StandardName[IDinTheRanking],StandardName[StandardizedName],Analiza_wRankingach[[#This Row],[Nazwa uczelni]],StandardName[Ranking],"=ARWU")</f>
        <v>8</v>
      </c>
      <c r="AF9">
        <f>SUMIFS(StandardName[IDinTheRanking],StandardName[StandardizedName],Analiza_wRankingach[[#This Row],[Nazwa uczelni]],StandardName[Ranking],"=QS")</f>
        <v>22</v>
      </c>
      <c r="AG9">
        <f>SUMIFS(StandardName[IDinTheRanking],StandardName[StandardizedName],Analiza_wRankingach[[#This Row],[Nazwa uczelni]],StandardName[Ranking],"=Webometrics")</f>
        <v>9</v>
      </c>
      <c r="AH9">
        <f>SUM(Analiza_wRankingach[[#This Row],[THE_ID]:[Webometrics_ID]])</f>
        <v>50</v>
      </c>
      <c r="AI9" t="str">
        <f>IF(Analiza_wRankingach[[#This Row],[LiczbaWystąpień]]&gt;=T10,"OK","UWAGA")</f>
        <v>OK</v>
      </c>
    </row>
    <row r="10" spans="1:42" x14ac:dyDescent="0.45">
      <c r="A10">
        <v>8</v>
      </c>
      <c r="B10" t="str">
        <f>Analiza_wRankingach[[#This Row],[Nazwa uczelni]]</f>
        <v>Yale University</v>
      </c>
      <c r="C10">
        <f>Analiza_wRankingach[[#This Row],[WartośćKontrolna]]</f>
        <v>52</v>
      </c>
      <c r="D10">
        <f>Analiza_wRankingach[[#This Row],[THE_RV]]</f>
        <v>9</v>
      </c>
      <c r="E10">
        <f>Analiza_wRankingach[[#This Row],[ARWU_RV]]</f>
        <v>11</v>
      </c>
      <c r="F10">
        <f>Analiza_wRankingach[[#This Row],[QS_RV]]</f>
        <v>18</v>
      </c>
      <c r="G10">
        <f>Analiza_wRankingach[[#This Row],[Webometrics_RV]]</f>
        <v>14</v>
      </c>
      <c r="I10" t="s">
        <v>61</v>
      </c>
      <c r="J10">
        <v>8</v>
      </c>
      <c r="K10" t="s">
        <v>61</v>
      </c>
      <c r="L10">
        <v>8</v>
      </c>
      <c r="M10" t="s">
        <v>848</v>
      </c>
      <c r="O10" t="s">
        <v>48</v>
      </c>
      <c r="P10">
        <f>IF(SUMIFS(StandardName[IDinTheRanking],StandardName[StandardizedName],Analiza_wRankingach[[#This Row],[Nazwa uczelni]],StandardName[Ranking],"=THE")&gt;0,1,0)</f>
        <v>1</v>
      </c>
      <c r="Q10">
        <f>IF(SUMIFS(StandardName[IDinTheRanking],StandardName[StandardizedName],Analiza_wRankingach[[#This Row],[Nazwa uczelni]],StandardName[Ranking],"=ARWU")&gt;0,1,0)</f>
        <v>1</v>
      </c>
      <c r="R10">
        <f>IF(SUMIFS(StandardName[IDinTheRanking],StandardName[StandardizedName],Analiza_wRankingach[[#This Row],[Nazwa uczelni]],StandardName[Ranking],"=QS")&gt;0,1,0)</f>
        <v>1</v>
      </c>
      <c r="S10">
        <f>IF(SUMIFS(StandardName[IDinTheRanking],StandardName[StandardizedName],Analiza_wRankingach[[#This Row],[Nazwa uczelni]],StandardName[Ranking],"=Webometrics")&gt;0,1,0)</f>
        <v>1</v>
      </c>
      <c r="T10">
        <f>SUM(Analiza_wRankingach[[#This Row],[THE]:[Webometrics]])</f>
        <v>4</v>
      </c>
      <c r="U10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9</v>
      </c>
      <c r="V10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11</v>
      </c>
      <c r="W10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18</v>
      </c>
      <c r="X10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14</v>
      </c>
      <c r="Y10">
        <f>SUM(Analiza_wRankingach[[#This Row],[THE_RV1000]:[Webometrics_RV1000]])</f>
        <v>52</v>
      </c>
      <c r="Z10">
        <f>SUMIFS(StandardName[RankValueInTheRanking],StandardName[StandardizedName],Analiza_wRankingach[[#This Row],[Nazwa uczelni]],StandardName[Ranking],"=THE")</f>
        <v>9</v>
      </c>
      <c r="AA10">
        <f>SUMIFS(StandardName[RankValueInTheRanking],StandardName[StandardizedName],Analiza_wRankingach[[#This Row],[Nazwa uczelni]],StandardName[Ranking],"=ARWU")</f>
        <v>11</v>
      </c>
      <c r="AB10">
        <f>SUMIFS(StandardName[RankValueInTheRanking],StandardName[StandardizedName],Analiza_wRankingach[[#This Row],[Nazwa uczelni]],StandardName[Ranking],"=QS")</f>
        <v>18</v>
      </c>
      <c r="AC10">
        <f>SUMIFS(StandardName[RankValueInTheRanking],StandardName[StandardizedName],Analiza_wRankingach[[#This Row],[Nazwa uczelni]],StandardName[Ranking],"=Webometrics")</f>
        <v>14</v>
      </c>
      <c r="AD10">
        <f>SUMIFS(StandardName[IDinTheRanking],StandardName[StandardizedName],Analiza_wRankingach[[#This Row],[Nazwa uczelni]],StandardName[Ranking],"=THE")</f>
        <v>9</v>
      </c>
      <c r="AE10">
        <f>SUMIFS(StandardName[IDinTheRanking],StandardName[StandardizedName],Analiza_wRankingach[[#This Row],[Nazwa uczelni]],StandardName[Ranking],"=ARWU")</f>
        <v>11</v>
      </c>
      <c r="AF10">
        <f>SUMIFS(StandardName[IDinTheRanking],StandardName[StandardizedName],Analiza_wRankingach[[#This Row],[Nazwa uczelni]],StandardName[Ranking],"=QS")</f>
        <v>18</v>
      </c>
      <c r="AG10">
        <f>SUMIFS(StandardName[IDinTheRanking],StandardName[StandardizedName],Analiza_wRankingach[[#This Row],[Nazwa uczelni]],StandardName[Ranking],"=Webometrics")</f>
        <v>14</v>
      </c>
      <c r="AH10">
        <f>SUM(Analiza_wRankingach[[#This Row],[THE_ID]:[Webometrics_ID]])</f>
        <v>52</v>
      </c>
      <c r="AI10" t="str">
        <f>IF(Analiza_wRankingach[[#This Row],[LiczbaWystąpień]]&gt;=T11,"OK","UWAGA")</f>
        <v>OK</v>
      </c>
    </row>
    <row r="11" spans="1:42" x14ac:dyDescent="0.45">
      <c r="A11">
        <v>9</v>
      </c>
      <c r="B11" t="str">
        <f>Analiza_wRankingach[[#This Row],[Nazwa uczelni]]</f>
        <v>University of Pennsylvania</v>
      </c>
      <c r="C11">
        <f>Analiza_wRankingach[[#This Row],[WartośćKontrolna]]</f>
        <v>53</v>
      </c>
      <c r="D11">
        <f>Analiza_wRankingach[[#This Row],[THE_RV]]</f>
        <v>14</v>
      </c>
      <c r="E11">
        <f>Analiza_wRankingach[[#This Row],[ARWU_RV]]</f>
        <v>15</v>
      </c>
      <c r="F11">
        <f>Analiza_wRankingach[[#This Row],[QS_RV]]</f>
        <v>13</v>
      </c>
      <c r="G11">
        <f>Analiza_wRankingach[[#This Row],[Webometrics_RV]]</f>
        <v>11</v>
      </c>
      <c r="I11" t="s">
        <v>31</v>
      </c>
      <c r="J11">
        <v>9</v>
      </c>
      <c r="K11" t="s">
        <v>31</v>
      </c>
      <c r="L11">
        <v>9</v>
      </c>
      <c r="M11" t="s">
        <v>848</v>
      </c>
      <c r="O11" t="s">
        <v>79</v>
      </c>
      <c r="P11">
        <f>IF(SUMIFS(StandardName[IDinTheRanking],StandardName[StandardizedName],Analiza_wRankingach[[#This Row],[Nazwa uczelni]],StandardName[Ranking],"=THE")&gt;0,1,0)</f>
        <v>1</v>
      </c>
      <c r="Q11">
        <f>IF(SUMIFS(StandardName[IDinTheRanking],StandardName[StandardizedName],Analiza_wRankingach[[#This Row],[Nazwa uczelni]],StandardName[Ranking],"=ARWU")&gt;0,1,0)</f>
        <v>1</v>
      </c>
      <c r="R11">
        <f>IF(SUMIFS(StandardName[IDinTheRanking],StandardName[StandardizedName],Analiza_wRankingach[[#This Row],[Nazwa uczelni]],StandardName[Ranking],"=QS")&gt;0,1,0)</f>
        <v>1</v>
      </c>
      <c r="S11">
        <f>IF(SUMIFS(StandardName[IDinTheRanking],StandardName[StandardizedName],Analiza_wRankingach[[#This Row],[Nazwa uczelni]],StandardName[Ranking],"=Webometrics")&gt;0,1,0)</f>
        <v>1</v>
      </c>
      <c r="T11">
        <f>SUM(Analiza_wRankingach[[#This Row],[THE]:[Webometrics]])</f>
        <v>4</v>
      </c>
      <c r="U11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14</v>
      </c>
      <c r="V11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15</v>
      </c>
      <c r="W11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13</v>
      </c>
      <c r="X11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11</v>
      </c>
      <c r="Y11">
        <f>SUM(Analiza_wRankingach[[#This Row],[THE_RV1000]:[Webometrics_RV1000]])</f>
        <v>53</v>
      </c>
      <c r="Z11">
        <f>SUMIFS(StandardName[RankValueInTheRanking],StandardName[StandardizedName],Analiza_wRankingach[[#This Row],[Nazwa uczelni]],StandardName[Ranking],"=THE")</f>
        <v>14</v>
      </c>
      <c r="AA11">
        <f>SUMIFS(StandardName[RankValueInTheRanking],StandardName[StandardizedName],Analiza_wRankingach[[#This Row],[Nazwa uczelni]],StandardName[Ranking],"=ARWU")</f>
        <v>15</v>
      </c>
      <c r="AB11">
        <f>SUMIFS(StandardName[RankValueInTheRanking],StandardName[StandardizedName],Analiza_wRankingach[[#This Row],[Nazwa uczelni]],StandardName[Ranking],"=QS")</f>
        <v>13</v>
      </c>
      <c r="AC11">
        <f>SUMIFS(StandardName[RankValueInTheRanking],StandardName[StandardizedName],Analiza_wRankingach[[#This Row],[Nazwa uczelni]],StandardName[Ranking],"=Webometrics")</f>
        <v>11</v>
      </c>
      <c r="AD11">
        <f>SUMIFS(StandardName[IDinTheRanking],StandardName[StandardizedName],Analiza_wRankingach[[#This Row],[Nazwa uczelni]],StandardName[Ranking],"=THE")</f>
        <v>14</v>
      </c>
      <c r="AE11">
        <f>SUMIFS(StandardName[IDinTheRanking],StandardName[StandardizedName],Analiza_wRankingach[[#This Row],[Nazwa uczelni]],StandardName[Ranking],"=ARWU")</f>
        <v>15</v>
      </c>
      <c r="AF11">
        <f>SUMIFS(StandardName[IDinTheRanking],StandardName[StandardizedName],Analiza_wRankingach[[#This Row],[Nazwa uczelni]],StandardName[Ranking],"=QS")</f>
        <v>13</v>
      </c>
      <c r="AG11">
        <f>SUMIFS(StandardName[IDinTheRanking],StandardName[StandardizedName],Analiza_wRankingach[[#This Row],[Nazwa uczelni]],StandardName[Ranking],"=Webometrics")</f>
        <v>11</v>
      </c>
      <c r="AH11">
        <f>SUM(Analiza_wRankingach[[#This Row],[THE_ID]:[Webometrics_ID]])</f>
        <v>53</v>
      </c>
      <c r="AI11" t="str">
        <f>IF(Analiza_wRankingach[[#This Row],[LiczbaWystąpień]]&gt;=T12,"OK","UWAGA")</f>
        <v>OK</v>
      </c>
    </row>
    <row r="12" spans="1:42" x14ac:dyDescent="0.45">
      <c r="A12">
        <v>10</v>
      </c>
      <c r="B12" t="str">
        <f>Analiza_wRankingach[[#This Row],[Nazwa uczelni]]</f>
        <v>Princeton University</v>
      </c>
      <c r="C12">
        <f>Analiza_wRankingach[[#This Row],[WartośćKontrolna]]</f>
        <v>55</v>
      </c>
      <c r="D12">
        <f>Analiza_wRankingach[[#This Row],[THE_RV]]</f>
        <v>7</v>
      </c>
      <c r="E12">
        <f>Analiza_wRankingach[[#This Row],[ARWU_RV]]</f>
        <v>6</v>
      </c>
      <c r="F12">
        <f>Analiza_wRankingach[[#This Row],[QS_RV]]</f>
        <v>16</v>
      </c>
      <c r="G12">
        <f>Analiza_wRankingach[[#This Row],[Webometrics_RV]]</f>
        <v>26</v>
      </c>
      <c r="I12" t="s">
        <v>501</v>
      </c>
      <c r="J12">
        <v>10</v>
      </c>
      <c r="K12" t="s">
        <v>501</v>
      </c>
      <c r="L12">
        <v>10</v>
      </c>
      <c r="M12" t="s">
        <v>848</v>
      </c>
      <c r="O12" t="s">
        <v>36</v>
      </c>
      <c r="P12">
        <f>IF(SUMIFS(StandardName[IDinTheRanking],StandardName[StandardizedName],Analiza_wRankingach[[#This Row],[Nazwa uczelni]],StandardName[Ranking],"=THE")&gt;0,1,0)</f>
        <v>1</v>
      </c>
      <c r="Q12">
        <f>IF(SUMIFS(StandardName[IDinTheRanking],StandardName[StandardizedName],Analiza_wRankingach[[#This Row],[Nazwa uczelni]],StandardName[Ranking],"=ARWU")&gt;0,1,0)</f>
        <v>1</v>
      </c>
      <c r="R12">
        <f>IF(SUMIFS(StandardName[IDinTheRanking],StandardName[StandardizedName],Analiza_wRankingach[[#This Row],[Nazwa uczelni]],StandardName[Ranking],"=QS")&gt;0,1,0)</f>
        <v>1</v>
      </c>
      <c r="S12">
        <f>IF(SUMIFS(StandardName[IDinTheRanking],StandardName[StandardizedName],Analiza_wRankingach[[#This Row],[Nazwa uczelni]],StandardName[Ranking],"=Webometrics")&gt;0,1,0)</f>
        <v>1</v>
      </c>
      <c r="T12">
        <f>SUM(Analiza_wRankingach[[#This Row],[THE]:[Webometrics]])</f>
        <v>4</v>
      </c>
      <c r="U12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7</v>
      </c>
      <c r="V12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6</v>
      </c>
      <c r="W12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16</v>
      </c>
      <c r="X12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26</v>
      </c>
      <c r="Y12">
        <f>SUM(Analiza_wRankingach[[#This Row],[THE_RV1000]:[Webometrics_RV1000]])</f>
        <v>55</v>
      </c>
      <c r="Z12">
        <f>SUMIFS(StandardName[RankValueInTheRanking],StandardName[StandardizedName],Analiza_wRankingach[[#This Row],[Nazwa uczelni]],StandardName[Ranking],"=THE")</f>
        <v>7</v>
      </c>
      <c r="AA12">
        <f>SUMIFS(StandardName[RankValueInTheRanking],StandardName[StandardizedName],Analiza_wRankingach[[#This Row],[Nazwa uczelni]],StandardName[Ranking],"=ARWU")</f>
        <v>6</v>
      </c>
      <c r="AB12">
        <f>SUMIFS(StandardName[RankValueInTheRanking],StandardName[StandardizedName],Analiza_wRankingach[[#This Row],[Nazwa uczelni]],StandardName[Ranking],"=QS")</f>
        <v>16</v>
      </c>
      <c r="AC12">
        <f>SUMIFS(StandardName[RankValueInTheRanking],StandardName[StandardizedName],Analiza_wRankingach[[#This Row],[Nazwa uczelni]],StandardName[Ranking],"=Webometrics")</f>
        <v>26</v>
      </c>
      <c r="AD12">
        <f>SUMIFS(StandardName[IDinTheRanking],StandardName[StandardizedName],Analiza_wRankingach[[#This Row],[Nazwa uczelni]],StandardName[Ranking],"=THE")</f>
        <v>7</v>
      </c>
      <c r="AE12">
        <f>SUMIFS(StandardName[IDinTheRanking],StandardName[StandardizedName],Analiza_wRankingach[[#This Row],[Nazwa uczelni]],StandardName[Ranking],"=ARWU")</f>
        <v>6</v>
      </c>
      <c r="AF12">
        <f>SUMIFS(StandardName[IDinTheRanking],StandardName[StandardizedName],Analiza_wRankingach[[#This Row],[Nazwa uczelni]],StandardName[Ranking],"=QS")</f>
        <v>17</v>
      </c>
      <c r="AG12">
        <f>SUMIFS(StandardName[IDinTheRanking],StandardName[StandardizedName],Analiza_wRankingach[[#This Row],[Nazwa uczelni]],StandardName[Ranking],"=Webometrics")</f>
        <v>26</v>
      </c>
      <c r="AH12">
        <f>SUM(Analiza_wRankingach[[#This Row],[THE_ID]:[Webometrics_ID]])</f>
        <v>56</v>
      </c>
      <c r="AI12" t="str">
        <f>IF(Analiza_wRankingach[[#This Row],[LiczbaWystąpień]]&gt;=T13,"OK","UWAGA")</f>
        <v>OK</v>
      </c>
    </row>
    <row r="13" spans="1:42" x14ac:dyDescent="0.45">
      <c r="A13">
        <v>11</v>
      </c>
      <c r="B13" t="str">
        <f>Analiza_wRankingach[[#This Row],[Nazwa uczelni]]</f>
        <v>Cornell University</v>
      </c>
      <c r="C13">
        <f>Analiza_wRankingach[[#This Row],[WartośćKontrolna]]</f>
        <v>60</v>
      </c>
      <c r="D13">
        <f>Analiza_wRankingach[[#This Row],[THE_RV]]</f>
        <v>20</v>
      </c>
      <c r="E13">
        <f>Analiza_wRankingach[[#This Row],[ARWU_RV]]</f>
        <v>12</v>
      </c>
      <c r="F13">
        <f>Analiza_wRankingach[[#This Row],[QS_RV]]</f>
        <v>20</v>
      </c>
      <c r="G13">
        <f>Analiza_wRankingach[[#This Row],[Webometrics_RV]]</f>
        <v>8</v>
      </c>
      <c r="I13" t="s">
        <v>48</v>
      </c>
      <c r="J13">
        <v>11</v>
      </c>
      <c r="K13" t="s">
        <v>48</v>
      </c>
      <c r="L13">
        <v>11</v>
      </c>
      <c r="M13" t="s">
        <v>848</v>
      </c>
      <c r="O13" t="s">
        <v>118</v>
      </c>
      <c r="P13">
        <f>IF(SUMIFS(StandardName[IDinTheRanking],StandardName[StandardizedName],Analiza_wRankingach[[#This Row],[Nazwa uczelni]],StandardName[Ranking],"=THE")&gt;0,1,0)</f>
        <v>1</v>
      </c>
      <c r="Q13">
        <f>IF(SUMIFS(StandardName[IDinTheRanking],StandardName[StandardizedName],Analiza_wRankingach[[#This Row],[Nazwa uczelni]],StandardName[Ranking],"=ARWU")&gt;0,1,0)</f>
        <v>1</v>
      </c>
      <c r="R13">
        <f>IF(SUMIFS(StandardName[IDinTheRanking],StandardName[StandardizedName],Analiza_wRankingach[[#This Row],[Nazwa uczelni]],StandardName[Ranking],"=QS")&gt;0,1,0)</f>
        <v>1</v>
      </c>
      <c r="S13">
        <f>IF(SUMIFS(StandardName[IDinTheRanking],StandardName[StandardizedName],Analiza_wRankingach[[#This Row],[Nazwa uczelni]],StandardName[Ranking],"=Webometrics")&gt;0,1,0)</f>
        <v>1</v>
      </c>
      <c r="T13">
        <f>SUM(Analiza_wRankingach[[#This Row],[THE]:[Webometrics]])</f>
        <v>4</v>
      </c>
      <c r="U13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20</v>
      </c>
      <c r="V13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12</v>
      </c>
      <c r="W13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20</v>
      </c>
      <c r="X13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8</v>
      </c>
      <c r="Y13">
        <f>SUM(Analiza_wRankingach[[#This Row],[THE_RV1000]:[Webometrics_RV1000]])</f>
        <v>60</v>
      </c>
      <c r="Z13">
        <f>SUMIFS(StandardName[RankValueInTheRanking],StandardName[StandardizedName],Analiza_wRankingach[[#This Row],[Nazwa uczelni]],StandardName[Ranking],"=THE")</f>
        <v>20</v>
      </c>
      <c r="AA13">
        <f>SUMIFS(StandardName[RankValueInTheRanking],StandardName[StandardizedName],Analiza_wRankingach[[#This Row],[Nazwa uczelni]],StandardName[Ranking],"=ARWU")</f>
        <v>12</v>
      </c>
      <c r="AB13">
        <f>SUMIFS(StandardName[RankValueInTheRanking],StandardName[StandardizedName],Analiza_wRankingach[[#This Row],[Nazwa uczelni]],StandardName[Ranking],"=QS")</f>
        <v>20</v>
      </c>
      <c r="AC13">
        <f>SUMIFS(StandardName[RankValueInTheRanking],StandardName[StandardizedName],Analiza_wRankingach[[#This Row],[Nazwa uczelni]],StandardName[Ranking],"=Webometrics")</f>
        <v>8</v>
      </c>
      <c r="AD13">
        <f>SUMIFS(StandardName[IDinTheRanking],StandardName[StandardizedName],Analiza_wRankingach[[#This Row],[Nazwa uczelni]],StandardName[Ranking],"=THE")</f>
        <v>20</v>
      </c>
      <c r="AE13">
        <f>SUMIFS(StandardName[IDinTheRanking],StandardName[StandardizedName],Analiza_wRankingach[[#This Row],[Nazwa uczelni]],StandardName[Ranking],"=ARWU")</f>
        <v>12</v>
      </c>
      <c r="AF13">
        <f>SUMIFS(StandardName[IDinTheRanking],StandardName[StandardizedName],Analiza_wRankingach[[#This Row],[Nazwa uczelni]],StandardName[Ranking],"=QS")</f>
        <v>20</v>
      </c>
      <c r="AG13">
        <f>SUMIFS(StandardName[IDinTheRanking],StandardName[StandardizedName],Analiza_wRankingach[[#This Row],[Nazwa uczelni]],StandardName[Ranking],"=Webometrics")</f>
        <v>8</v>
      </c>
      <c r="AH13">
        <f>SUM(Analiza_wRankingach[[#This Row],[THE_ID]:[Webometrics_ID]])</f>
        <v>60</v>
      </c>
      <c r="AI13" t="str">
        <f>IF(Analiza_wRankingach[[#This Row],[LiczbaWystąpień]]&gt;=T14,"OK","UWAGA")</f>
        <v>OK</v>
      </c>
    </row>
    <row r="14" spans="1:42" x14ac:dyDescent="0.45">
      <c r="A14">
        <v>12</v>
      </c>
      <c r="B14" t="str">
        <f>Analiza_wRankingach[[#This Row],[Nazwa uczelni]]</f>
        <v>University of Chicago</v>
      </c>
      <c r="C14">
        <f>Analiza_wRankingach[[#This Row],[WartośćKontrolna]]</f>
        <v>62</v>
      </c>
      <c r="D14">
        <f>Analiza_wRankingach[[#This Row],[THE_RV]]</f>
        <v>13</v>
      </c>
      <c r="E14">
        <f>Analiza_wRankingach[[#This Row],[ARWU_RV]]</f>
        <v>10</v>
      </c>
      <c r="F14">
        <f>Analiza_wRankingach[[#This Row],[QS_RV]]</f>
        <v>10</v>
      </c>
      <c r="G14">
        <f>Analiza_wRankingach[[#This Row],[Webometrics_RV]]</f>
        <v>29</v>
      </c>
      <c r="I14" t="s">
        <v>118</v>
      </c>
      <c r="J14">
        <v>12</v>
      </c>
      <c r="K14" t="s">
        <v>118</v>
      </c>
      <c r="L14">
        <v>12</v>
      </c>
      <c r="M14" t="s">
        <v>848</v>
      </c>
      <c r="O14" t="s">
        <v>501</v>
      </c>
      <c r="P14">
        <f>IF(SUMIFS(StandardName[IDinTheRanking],StandardName[StandardizedName],Analiza_wRankingach[[#This Row],[Nazwa uczelni]],StandardName[Ranking],"=THE")&gt;0,1,0)</f>
        <v>1</v>
      </c>
      <c r="Q14">
        <f>IF(SUMIFS(StandardName[IDinTheRanking],StandardName[StandardizedName],Analiza_wRankingach[[#This Row],[Nazwa uczelni]],StandardName[Ranking],"=ARWU")&gt;0,1,0)</f>
        <v>1</v>
      </c>
      <c r="R14">
        <f>IF(SUMIFS(StandardName[IDinTheRanking],StandardName[StandardizedName],Analiza_wRankingach[[#This Row],[Nazwa uczelni]],StandardName[Ranking],"=QS")&gt;0,1,0)</f>
        <v>1</v>
      </c>
      <c r="S14">
        <f>IF(SUMIFS(StandardName[IDinTheRanking],StandardName[StandardizedName],Analiza_wRankingach[[#This Row],[Nazwa uczelni]],StandardName[Ranking],"=Webometrics")&gt;0,1,0)</f>
        <v>1</v>
      </c>
      <c r="T14">
        <f>SUM(Analiza_wRankingach[[#This Row],[THE]:[Webometrics]])</f>
        <v>4</v>
      </c>
      <c r="U14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13</v>
      </c>
      <c r="V14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10</v>
      </c>
      <c r="W14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10</v>
      </c>
      <c r="X14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29</v>
      </c>
      <c r="Y14">
        <f>SUM(Analiza_wRankingach[[#This Row],[THE_RV1000]:[Webometrics_RV1000]])</f>
        <v>62</v>
      </c>
      <c r="Z14">
        <f>SUMIFS(StandardName[RankValueInTheRanking],StandardName[StandardizedName],Analiza_wRankingach[[#This Row],[Nazwa uczelni]],StandardName[Ranking],"=THE")</f>
        <v>13</v>
      </c>
      <c r="AA14">
        <f>SUMIFS(StandardName[RankValueInTheRanking],StandardName[StandardizedName],Analiza_wRankingach[[#This Row],[Nazwa uczelni]],StandardName[Ranking],"=ARWU")</f>
        <v>10</v>
      </c>
      <c r="AB14">
        <f>SUMIFS(StandardName[RankValueInTheRanking],StandardName[StandardizedName],Analiza_wRankingach[[#This Row],[Nazwa uczelni]],StandardName[Ranking],"=QS")</f>
        <v>10</v>
      </c>
      <c r="AC14">
        <f>SUMIFS(StandardName[RankValueInTheRanking],StandardName[StandardizedName],Analiza_wRankingach[[#This Row],[Nazwa uczelni]],StandardName[Ranking],"=Webometrics")</f>
        <v>29</v>
      </c>
      <c r="AD14">
        <f>SUMIFS(StandardName[IDinTheRanking],StandardName[StandardizedName],Analiza_wRankingach[[#This Row],[Nazwa uczelni]],StandardName[Ranking],"=THE")</f>
        <v>13</v>
      </c>
      <c r="AE14">
        <f>SUMIFS(StandardName[IDinTheRanking],StandardName[StandardizedName],Analiza_wRankingach[[#This Row],[Nazwa uczelni]],StandardName[Ranking],"=ARWU")</f>
        <v>10</v>
      </c>
      <c r="AF14">
        <f>SUMIFS(StandardName[IDinTheRanking],StandardName[StandardizedName],Analiza_wRankingach[[#This Row],[Nazwa uczelni]],StandardName[Ranking],"=QS")</f>
        <v>10</v>
      </c>
      <c r="AG14">
        <f>SUMIFS(StandardName[IDinTheRanking],StandardName[StandardizedName],Analiza_wRankingach[[#This Row],[Nazwa uczelni]],StandardName[Ranking],"=Webometrics")</f>
        <v>29</v>
      </c>
      <c r="AH14">
        <f>SUM(Analiza_wRankingach[[#This Row],[THE_ID]:[Webometrics_ID]])</f>
        <v>62</v>
      </c>
      <c r="AI14" t="str">
        <f>IF(Analiza_wRankingach[[#This Row],[LiczbaWystąpień]]&gt;=T15,"OK","UWAGA")</f>
        <v>OK</v>
      </c>
    </row>
    <row r="15" spans="1:42" x14ac:dyDescent="0.45">
      <c r="A15">
        <v>13</v>
      </c>
      <c r="B15" t="str">
        <f>Analiza_wRankingach[[#This Row],[Nazwa uczelni]]</f>
        <v>Johns Hopkins University</v>
      </c>
      <c r="C15">
        <f>Analiza_wRankingach[[#This Row],[WartośćKontrolna]]</f>
        <v>63</v>
      </c>
      <c r="D15">
        <f>Analiza_wRankingach[[#This Row],[THE_RV]]</f>
        <v>15</v>
      </c>
      <c r="E15">
        <f>Analiza_wRankingach[[#This Row],[ARWU_RV]]</f>
        <v>14</v>
      </c>
      <c r="F15">
        <f>Analiza_wRankingach[[#This Row],[QS_RV]]</f>
        <v>24</v>
      </c>
      <c r="G15">
        <f>Analiza_wRankingach[[#This Row],[Webometrics_RV]]</f>
        <v>10</v>
      </c>
      <c r="I15" t="s">
        <v>124</v>
      </c>
      <c r="J15">
        <v>13</v>
      </c>
      <c r="K15" t="s">
        <v>795</v>
      </c>
      <c r="L15">
        <v>13</v>
      </c>
      <c r="M15" t="s">
        <v>848</v>
      </c>
      <c r="O15" t="s">
        <v>83</v>
      </c>
      <c r="P15">
        <f>IF(SUMIFS(StandardName[IDinTheRanking],StandardName[StandardizedName],Analiza_wRankingach[[#This Row],[Nazwa uczelni]],StandardName[Ranking],"=THE")&gt;0,1,0)</f>
        <v>1</v>
      </c>
      <c r="Q15">
        <f>IF(SUMIFS(StandardName[IDinTheRanking],StandardName[StandardizedName],Analiza_wRankingach[[#This Row],[Nazwa uczelni]],StandardName[Ranking],"=ARWU")&gt;0,1,0)</f>
        <v>1</v>
      </c>
      <c r="R15">
        <f>IF(SUMIFS(StandardName[IDinTheRanking],StandardName[StandardizedName],Analiza_wRankingach[[#This Row],[Nazwa uczelni]],StandardName[Ranking],"=QS")&gt;0,1,0)</f>
        <v>1</v>
      </c>
      <c r="S15">
        <f>IF(SUMIFS(StandardName[IDinTheRanking],StandardName[StandardizedName],Analiza_wRankingach[[#This Row],[Nazwa uczelni]],StandardName[Ranking],"=Webometrics")&gt;0,1,0)</f>
        <v>1</v>
      </c>
      <c r="T15">
        <f>SUM(Analiza_wRankingach[[#This Row],[THE]:[Webometrics]])</f>
        <v>4</v>
      </c>
      <c r="U15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15</v>
      </c>
      <c r="V15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14</v>
      </c>
      <c r="W15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24</v>
      </c>
      <c r="X15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10</v>
      </c>
      <c r="Y15">
        <f>SUM(Analiza_wRankingach[[#This Row],[THE_RV1000]:[Webometrics_RV1000]])</f>
        <v>63</v>
      </c>
      <c r="Z15">
        <f>SUMIFS(StandardName[RankValueInTheRanking],StandardName[StandardizedName],Analiza_wRankingach[[#This Row],[Nazwa uczelni]],StandardName[Ranking],"=THE")</f>
        <v>15</v>
      </c>
      <c r="AA15">
        <f>SUMIFS(StandardName[RankValueInTheRanking],StandardName[StandardizedName],Analiza_wRankingach[[#This Row],[Nazwa uczelni]],StandardName[Ranking],"=ARWU")</f>
        <v>14</v>
      </c>
      <c r="AB15">
        <f>SUMIFS(StandardName[RankValueInTheRanking],StandardName[StandardizedName],Analiza_wRankingach[[#This Row],[Nazwa uczelni]],StandardName[Ranking],"=QS")</f>
        <v>24</v>
      </c>
      <c r="AC15">
        <f>SUMIFS(StandardName[RankValueInTheRanking],StandardName[StandardizedName],Analiza_wRankingach[[#This Row],[Nazwa uczelni]],StandardName[Ranking],"=Webometrics")</f>
        <v>10</v>
      </c>
      <c r="AD15">
        <f>SUMIFS(StandardName[IDinTheRanking],StandardName[StandardizedName],Analiza_wRankingach[[#This Row],[Nazwa uczelni]],StandardName[Ranking],"=THE")</f>
        <v>15</v>
      </c>
      <c r="AE15">
        <f>SUMIFS(StandardName[IDinTheRanking],StandardName[StandardizedName],Analiza_wRankingach[[#This Row],[Nazwa uczelni]],StandardName[Ranking],"=ARWU")</f>
        <v>14</v>
      </c>
      <c r="AF15">
        <f>SUMIFS(StandardName[IDinTheRanking],StandardName[StandardizedName],Analiza_wRankingach[[#This Row],[Nazwa uczelni]],StandardName[Ranking],"=QS")</f>
        <v>24</v>
      </c>
      <c r="AG15">
        <f>SUMIFS(StandardName[IDinTheRanking],StandardName[StandardizedName],Analiza_wRankingach[[#This Row],[Nazwa uczelni]],StandardName[Ranking],"=Webometrics")</f>
        <v>10</v>
      </c>
      <c r="AH15">
        <f>SUM(Analiza_wRankingach[[#This Row],[THE_ID]:[Webometrics_ID]])</f>
        <v>63</v>
      </c>
      <c r="AI15" t="str">
        <f>IF(Analiza_wRankingach[[#This Row],[LiczbaWystąpień]]&gt;=T16,"OK","UWAGA")</f>
        <v>OK</v>
      </c>
    </row>
    <row r="16" spans="1:42" x14ac:dyDescent="0.45">
      <c r="A16">
        <v>14</v>
      </c>
      <c r="B16" t="str">
        <f>Analiza_wRankingach[[#This Row],[Nazwa uczelni]]</f>
        <v>UCL University College London</v>
      </c>
      <c r="C16">
        <f>Analiza_wRankingach[[#This Row],[WartośćKontrolna]]</f>
        <v>63</v>
      </c>
      <c r="D16">
        <f>Analiza_wRankingach[[#This Row],[THE_RV]]</f>
        <v>22</v>
      </c>
      <c r="E16">
        <f>Analiza_wRankingach[[#This Row],[ARWU_RV]]</f>
        <v>18</v>
      </c>
      <c r="F16">
        <f>Analiza_wRankingach[[#This Row],[QS_RV]]</f>
        <v>8</v>
      </c>
      <c r="G16">
        <f>Analiza_wRankingach[[#This Row],[Webometrics_RV]]</f>
        <v>15</v>
      </c>
      <c r="I16" t="s">
        <v>83</v>
      </c>
      <c r="J16">
        <v>14</v>
      </c>
      <c r="K16" t="s">
        <v>83</v>
      </c>
      <c r="L16">
        <v>14</v>
      </c>
      <c r="M16" t="s">
        <v>848</v>
      </c>
      <c r="O16" t="s">
        <v>796</v>
      </c>
      <c r="P16">
        <f>IF(SUMIFS(StandardName[IDinTheRanking],StandardName[StandardizedName],Analiza_wRankingach[[#This Row],[Nazwa uczelni]],StandardName[Ranking],"=THE")&gt;0,1,0)</f>
        <v>1</v>
      </c>
      <c r="Q16">
        <f>IF(SUMIFS(StandardName[IDinTheRanking],StandardName[StandardizedName],Analiza_wRankingach[[#This Row],[Nazwa uczelni]],StandardName[Ranking],"=ARWU")&gt;0,1,0)</f>
        <v>1</v>
      </c>
      <c r="R16">
        <f>IF(SUMIFS(StandardName[IDinTheRanking],StandardName[StandardizedName],Analiza_wRankingach[[#This Row],[Nazwa uczelni]],StandardName[Ranking],"=QS")&gt;0,1,0)</f>
        <v>1</v>
      </c>
      <c r="S16">
        <f>IF(SUMIFS(StandardName[IDinTheRanking],StandardName[StandardizedName],Analiza_wRankingach[[#This Row],[Nazwa uczelni]],StandardName[Ranking],"=Webometrics")&gt;0,1,0)</f>
        <v>1</v>
      </c>
      <c r="T16">
        <f>SUM(Analiza_wRankingach[[#This Row],[THE]:[Webometrics]])</f>
        <v>4</v>
      </c>
      <c r="U16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22</v>
      </c>
      <c r="V16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18</v>
      </c>
      <c r="W16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8</v>
      </c>
      <c r="X16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15</v>
      </c>
      <c r="Y16">
        <f>SUM(Analiza_wRankingach[[#This Row],[THE_RV1000]:[Webometrics_RV1000]])</f>
        <v>63</v>
      </c>
      <c r="Z16">
        <f>SUMIFS(StandardName[RankValueInTheRanking],StandardName[StandardizedName],Analiza_wRankingach[[#This Row],[Nazwa uczelni]],StandardName[Ranking],"=THE")</f>
        <v>22</v>
      </c>
      <c r="AA16">
        <f>SUMIFS(StandardName[RankValueInTheRanking],StandardName[StandardizedName],Analiza_wRankingach[[#This Row],[Nazwa uczelni]],StandardName[Ranking],"=ARWU")</f>
        <v>18</v>
      </c>
      <c r="AB16">
        <f>SUMIFS(StandardName[RankValueInTheRanking],StandardName[StandardizedName],Analiza_wRankingach[[#This Row],[Nazwa uczelni]],StandardName[Ranking],"=QS")</f>
        <v>8</v>
      </c>
      <c r="AC16">
        <f>SUMIFS(StandardName[RankValueInTheRanking],StandardName[StandardizedName],Analiza_wRankingach[[#This Row],[Nazwa uczelni]],StandardName[Ranking],"=Webometrics")</f>
        <v>15</v>
      </c>
      <c r="AD16">
        <f>SUMIFS(StandardName[IDinTheRanking],StandardName[StandardizedName],Analiza_wRankingach[[#This Row],[Nazwa uczelni]],StandardName[Ranking],"=THE")</f>
        <v>22</v>
      </c>
      <c r="AE16">
        <f>SUMIFS(StandardName[IDinTheRanking],StandardName[StandardizedName],Analiza_wRankingach[[#This Row],[Nazwa uczelni]],StandardName[Ranking],"=ARWU")</f>
        <v>18</v>
      </c>
      <c r="AF16">
        <f>SUMIFS(StandardName[IDinTheRanking],StandardName[StandardizedName],Analiza_wRankingach[[#This Row],[Nazwa uczelni]],StandardName[Ranking],"=QS")</f>
        <v>8</v>
      </c>
      <c r="AG16">
        <f>SUMIFS(StandardName[IDinTheRanking],StandardName[StandardizedName],Analiza_wRankingach[[#This Row],[Nazwa uczelni]],StandardName[Ranking],"=Webometrics")</f>
        <v>15</v>
      </c>
      <c r="AH16">
        <f>SUM(Analiza_wRankingach[[#This Row],[THE_ID]:[Webometrics_ID]])</f>
        <v>63</v>
      </c>
      <c r="AI16" t="str">
        <f>IF(Analiza_wRankingach[[#This Row],[LiczbaWystąpień]]&gt;=T17,"OK","UWAGA")</f>
        <v>OK</v>
      </c>
    </row>
    <row r="17" spans="1:35" x14ac:dyDescent="0.45">
      <c r="A17">
        <v>15</v>
      </c>
      <c r="B17" t="str">
        <f>Analiza_wRankingach[[#This Row],[Nazwa uczelni]]</f>
        <v>ETH Zurich</v>
      </c>
      <c r="C17">
        <f>Analiza_wRankingach[[#This Row],[WartośćKontrolna]]</f>
        <v>70</v>
      </c>
      <c r="D17">
        <f>Analiza_wRankingach[[#This Row],[THE_RV]]</f>
        <v>11</v>
      </c>
      <c r="E17">
        <f>Analiza_wRankingach[[#This Row],[ARWU_RV]]</f>
        <v>20</v>
      </c>
      <c r="F17">
        <f>Analiza_wRankingach[[#This Row],[QS_RV]]</f>
        <v>9</v>
      </c>
      <c r="G17">
        <f>Analiza_wRankingach[[#This Row],[Webometrics_RV]]</f>
        <v>30</v>
      </c>
      <c r="I17" t="s">
        <v>79</v>
      </c>
      <c r="J17">
        <v>15</v>
      </c>
      <c r="K17" t="s">
        <v>79</v>
      </c>
      <c r="L17">
        <v>15</v>
      </c>
      <c r="M17" t="s">
        <v>848</v>
      </c>
      <c r="O17" t="s">
        <v>67</v>
      </c>
      <c r="P17">
        <f>IF(SUMIFS(StandardName[IDinTheRanking],StandardName[StandardizedName],Analiza_wRankingach[[#This Row],[Nazwa uczelni]],StandardName[Ranking],"=THE")&gt;0,1,0)</f>
        <v>1</v>
      </c>
      <c r="Q17">
        <f>IF(SUMIFS(StandardName[IDinTheRanking],StandardName[StandardizedName],Analiza_wRankingach[[#This Row],[Nazwa uczelni]],StandardName[Ranking],"=ARWU")&gt;0,1,0)</f>
        <v>1</v>
      </c>
      <c r="R17">
        <f>IF(SUMIFS(StandardName[IDinTheRanking],StandardName[StandardizedName],Analiza_wRankingach[[#This Row],[Nazwa uczelni]],StandardName[Ranking],"=QS")&gt;0,1,0)</f>
        <v>1</v>
      </c>
      <c r="S17">
        <f>IF(SUMIFS(StandardName[IDinTheRanking],StandardName[StandardizedName],Analiza_wRankingach[[#This Row],[Nazwa uczelni]],StandardName[Ranking],"=Webometrics")&gt;0,1,0)</f>
        <v>1</v>
      </c>
      <c r="T17">
        <f>SUM(Analiza_wRankingach[[#This Row],[THE]:[Webometrics]])</f>
        <v>4</v>
      </c>
      <c r="U17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11</v>
      </c>
      <c r="V17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20</v>
      </c>
      <c r="W17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9</v>
      </c>
      <c r="X17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30</v>
      </c>
      <c r="Y17">
        <f>SUM(Analiza_wRankingach[[#This Row],[THE_RV1000]:[Webometrics_RV1000]])</f>
        <v>70</v>
      </c>
      <c r="Z17">
        <f>SUMIFS(StandardName[RankValueInTheRanking],StandardName[StandardizedName],Analiza_wRankingach[[#This Row],[Nazwa uczelni]],StandardName[Ranking],"=THE")</f>
        <v>11</v>
      </c>
      <c r="AA17">
        <f>SUMIFS(StandardName[RankValueInTheRanking],StandardName[StandardizedName],Analiza_wRankingach[[#This Row],[Nazwa uczelni]],StandardName[Ranking],"=ARWU")</f>
        <v>20</v>
      </c>
      <c r="AB17">
        <f>SUMIFS(StandardName[RankValueInTheRanking],StandardName[StandardizedName],Analiza_wRankingach[[#This Row],[Nazwa uczelni]],StandardName[Ranking],"=QS")</f>
        <v>9</v>
      </c>
      <c r="AC17">
        <f>SUMIFS(StandardName[RankValueInTheRanking],StandardName[StandardizedName],Analiza_wRankingach[[#This Row],[Nazwa uczelni]],StandardName[Ranking],"=Webometrics")</f>
        <v>30</v>
      </c>
      <c r="AD17">
        <f>SUMIFS(StandardName[IDinTheRanking],StandardName[StandardizedName],Analiza_wRankingach[[#This Row],[Nazwa uczelni]],StandardName[Ranking],"=THE")</f>
        <v>12</v>
      </c>
      <c r="AE17">
        <f>SUMIFS(StandardName[IDinTheRanking],StandardName[StandardizedName],Analiza_wRankingach[[#This Row],[Nazwa uczelni]],StandardName[Ranking],"=ARWU")</f>
        <v>20</v>
      </c>
      <c r="AF17">
        <f>SUMIFS(StandardName[IDinTheRanking],StandardName[StandardizedName],Analiza_wRankingach[[#This Row],[Nazwa uczelni]],StandardName[Ranking],"=QS")</f>
        <v>9</v>
      </c>
      <c r="AG17">
        <f>SUMIFS(StandardName[IDinTheRanking],StandardName[StandardizedName],Analiza_wRankingach[[#This Row],[Nazwa uczelni]],StandardName[Ranking],"=Webometrics")</f>
        <v>30</v>
      </c>
      <c r="AH17">
        <f>SUM(Analiza_wRankingach[[#This Row],[THE_ID]:[Webometrics_ID]])</f>
        <v>71</v>
      </c>
      <c r="AI17" t="str">
        <f>IF(Analiza_wRankingach[[#This Row],[LiczbaWystąpień]]&gt;=T18,"OK","UWAGA")</f>
        <v>OK</v>
      </c>
    </row>
    <row r="18" spans="1:35" x14ac:dyDescent="0.45">
      <c r="A18">
        <v>16</v>
      </c>
      <c r="B18" t="str">
        <f>Analiza_wRankingach[[#This Row],[Nazwa uczelni]]</f>
        <v>Imperial College London</v>
      </c>
      <c r="C18">
        <f>Analiza_wRankingach[[#This Row],[WartośćKontrolna]]</f>
        <v>74</v>
      </c>
      <c r="D18">
        <f>Analiza_wRankingach[[#This Row],[THE_RV]]</f>
        <v>10</v>
      </c>
      <c r="E18">
        <f>Analiza_wRankingach[[#This Row],[ARWU_RV]]</f>
        <v>23</v>
      </c>
      <c r="F18">
        <f>Analiza_wRankingach[[#This Row],[QS_RV]]</f>
        <v>6</v>
      </c>
      <c r="G18">
        <f>Analiza_wRankingach[[#This Row],[Webometrics_RV]]</f>
        <v>35</v>
      </c>
      <c r="I18" t="s">
        <v>508</v>
      </c>
      <c r="J18">
        <v>16</v>
      </c>
      <c r="K18" t="s">
        <v>456</v>
      </c>
      <c r="L18">
        <v>16</v>
      </c>
      <c r="M18" t="s">
        <v>848</v>
      </c>
      <c r="O18" t="s">
        <v>54</v>
      </c>
      <c r="P18">
        <f>IF(SUMIFS(StandardName[IDinTheRanking],StandardName[StandardizedName],Analiza_wRankingach[[#This Row],[Nazwa uczelni]],StandardName[Ranking],"=THE")&gt;0,1,0)</f>
        <v>1</v>
      </c>
      <c r="Q18">
        <f>IF(SUMIFS(StandardName[IDinTheRanking],StandardName[StandardizedName],Analiza_wRankingach[[#This Row],[Nazwa uczelni]],StandardName[Ranking],"=ARWU")&gt;0,1,0)</f>
        <v>1</v>
      </c>
      <c r="R18">
        <f>IF(SUMIFS(StandardName[IDinTheRanking],StandardName[StandardizedName],Analiza_wRankingach[[#This Row],[Nazwa uczelni]],StandardName[Ranking],"=QS")&gt;0,1,0)</f>
        <v>1</v>
      </c>
      <c r="S18">
        <f>IF(SUMIFS(StandardName[IDinTheRanking],StandardName[StandardizedName],Analiza_wRankingach[[#This Row],[Nazwa uczelni]],StandardName[Ranking],"=Webometrics")&gt;0,1,0)</f>
        <v>1</v>
      </c>
      <c r="T18">
        <f>SUM(Analiza_wRankingach[[#This Row],[THE]:[Webometrics]])</f>
        <v>4</v>
      </c>
      <c r="U18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10</v>
      </c>
      <c r="V18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23</v>
      </c>
      <c r="W18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6</v>
      </c>
      <c r="X18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35</v>
      </c>
      <c r="Y18">
        <f>SUM(Analiza_wRankingach[[#This Row],[THE_RV1000]:[Webometrics_RV1000]])</f>
        <v>74</v>
      </c>
      <c r="Z18">
        <f>SUMIFS(StandardName[RankValueInTheRanking],StandardName[StandardizedName],Analiza_wRankingach[[#This Row],[Nazwa uczelni]],StandardName[Ranking],"=THE")</f>
        <v>10</v>
      </c>
      <c r="AA18">
        <f>SUMIFS(StandardName[RankValueInTheRanking],StandardName[StandardizedName],Analiza_wRankingach[[#This Row],[Nazwa uczelni]],StandardName[Ranking],"=ARWU")</f>
        <v>23</v>
      </c>
      <c r="AB18">
        <f>SUMIFS(StandardName[RankValueInTheRanking],StandardName[StandardizedName],Analiza_wRankingach[[#This Row],[Nazwa uczelni]],StandardName[Ranking],"=QS")</f>
        <v>6</v>
      </c>
      <c r="AC18">
        <f>SUMIFS(StandardName[RankValueInTheRanking],StandardName[StandardizedName],Analiza_wRankingach[[#This Row],[Nazwa uczelni]],StandardName[Ranking],"=Webometrics")</f>
        <v>35</v>
      </c>
      <c r="AD18">
        <f>SUMIFS(StandardName[IDinTheRanking],StandardName[StandardizedName],Analiza_wRankingach[[#This Row],[Nazwa uczelni]],StandardName[Ranking],"=THE")</f>
        <v>10</v>
      </c>
      <c r="AE18">
        <f>SUMIFS(StandardName[IDinTheRanking],StandardName[StandardizedName],Analiza_wRankingach[[#This Row],[Nazwa uczelni]],StandardName[Ranking],"=ARWU")</f>
        <v>23</v>
      </c>
      <c r="AF18">
        <f>SUMIFS(StandardName[IDinTheRanking],StandardName[StandardizedName],Analiza_wRankingach[[#This Row],[Nazwa uczelni]],StandardName[Ranking],"=QS")</f>
        <v>7</v>
      </c>
      <c r="AG18">
        <f>SUMIFS(StandardName[IDinTheRanking],StandardName[StandardizedName],Analiza_wRankingach[[#This Row],[Nazwa uczelni]],StandardName[Ranking],"=Webometrics")</f>
        <v>35</v>
      </c>
      <c r="AH18">
        <f>SUM(Analiza_wRankingach[[#This Row],[THE_ID]:[Webometrics_ID]])</f>
        <v>75</v>
      </c>
      <c r="AI18" t="str">
        <f>IF(Analiza_wRankingach[[#This Row],[LiczbaWystąpień]]&gt;=T19,"OK","UWAGA")</f>
        <v>OK</v>
      </c>
    </row>
    <row r="19" spans="1:35" x14ac:dyDescent="0.45">
      <c r="A19">
        <v>17</v>
      </c>
      <c r="B19" t="str">
        <f>Analiza_wRankingach[[#This Row],[Nazwa uczelni]]</f>
        <v>California Institute of Technology</v>
      </c>
      <c r="C19">
        <f>Analiza_wRankingach[[#This Row],[WartośćKontrolna]]</f>
        <v>80</v>
      </c>
      <c r="D19">
        <f>Analiza_wRankingach[[#This Row],[THE_RV]]</f>
        <v>6</v>
      </c>
      <c r="E19">
        <f>Analiza_wRankingach[[#This Row],[ARWU_RV]]</f>
        <v>9</v>
      </c>
      <c r="F19">
        <f>Analiza_wRankingach[[#This Row],[QS_RV]]</f>
        <v>6</v>
      </c>
      <c r="G19">
        <f>Analiza_wRankingach[[#This Row],[Webometrics_RV]]</f>
        <v>59</v>
      </c>
      <c r="I19" t="s">
        <v>157</v>
      </c>
      <c r="J19">
        <v>17</v>
      </c>
      <c r="K19" t="s">
        <v>157</v>
      </c>
      <c r="L19">
        <v>17</v>
      </c>
      <c r="M19" t="s">
        <v>848</v>
      </c>
      <c r="O19" t="s">
        <v>31</v>
      </c>
      <c r="P19">
        <f>IF(SUMIFS(StandardName[IDinTheRanking],StandardName[StandardizedName],Analiza_wRankingach[[#This Row],[Nazwa uczelni]],StandardName[Ranking],"=THE")&gt;0,1,0)</f>
        <v>1</v>
      </c>
      <c r="Q19">
        <f>IF(SUMIFS(StandardName[IDinTheRanking],StandardName[StandardizedName],Analiza_wRankingach[[#This Row],[Nazwa uczelni]],StandardName[Ranking],"=ARWU")&gt;0,1,0)</f>
        <v>1</v>
      </c>
      <c r="R19">
        <f>IF(SUMIFS(StandardName[IDinTheRanking],StandardName[StandardizedName],Analiza_wRankingach[[#This Row],[Nazwa uczelni]],StandardName[Ranking],"=QS")&gt;0,1,0)</f>
        <v>1</v>
      </c>
      <c r="S19">
        <f>IF(SUMIFS(StandardName[IDinTheRanking],StandardName[StandardizedName],Analiza_wRankingach[[#This Row],[Nazwa uczelni]],StandardName[Ranking],"=Webometrics")&gt;0,1,0)</f>
        <v>1</v>
      </c>
      <c r="T19">
        <f>SUM(Analiza_wRankingach[[#This Row],[THE]:[Webometrics]])</f>
        <v>4</v>
      </c>
      <c r="U19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6</v>
      </c>
      <c r="V19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9</v>
      </c>
      <c r="W19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6</v>
      </c>
      <c r="X19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59</v>
      </c>
      <c r="Y19">
        <f>SUM(Analiza_wRankingach[[#This Row],[THE_RV1000]:[Webometrics_RV1000]])</f>
        <v>80</v>
      </c>
      <c r="Z19">
        <f>SUMIFS(StandardName[RankValueInTheRanking],StandardName[StandardizedName],Analiza_wRankingach[[#This Row],[Nazwa uczelni]],StandardName[Ranking],"=THE")</f>
        <v>6</v>
      </c>
      <c r="AA19">
        <f>SUMIFS(StandardName[RankValueInTheRanking],StandardName[StandardizedName],Analiza_wRankingach[[#This Row],[Nazwa uczelni]],StandardName[Ranking],"=ARWU")</f>
        <v>9</v>
      </c>
      <c r="AB19">
        <f>SUMIFS(StandardName[RankValueInTheRanking],StandardName[StandardizedName],Analiza_wRankingach[[#This Row],[Nazwa uczelni]],StandardName[Ranking],"=QS")</f>
        <v>6</v>
      </c>
      <c r="AC19">
        <f>SUMIFS(StandardName[RankValueInTheRanking],StandardName[StandardizedName],Analiza_wRankingach[[#This Row],[Nazwa uczelni]],StandardName[Ranking],"=Webometrics")</f>
        <v>59</v>
      </c>
      <c r="AD19">
        <f>SUMIFS(StandardName[IDinTheRanking],StandardName[StandardizedName],Analiza_wRankingach[[#This Row],[Nazwa uczelni]],StandardName[Ranking],"=THE")</f>
        <v>6</v>
      </c>
      <c r="AE19">
        <f>SUMIFS(StandardName[IDinTheRanking],StandardName[StandardizedName],Analiza_wRankingach[[#This Row],[Nazwa uczelni]],StandardName[Ranking],"=ARWU")</f>
        <v>9</v>
      </c>
      <c r="AF19">
        <f>SUMIFS(StandardName[IDinTheRanking],StandardName[StandardizedName],Analiza_wRankingach[[#This Row],[Nazwa uczelni]],StandardName[Ranking],"=QS")</f>
        <v>6</v>
      </c>
      <c r="AG19">
        <f>SUMIFS(StandardName[IDinTheRanking],StandardName[StandardizedName],Analiza_wRankingach[[#This Row],[Nazwa uczelni]],StandardName[Ranking],"=Webometrics")</f>
        <v>59</v>
      </c>
      <c r="AH19">
        <f>SUM(Analiza_wRankingach[[#This Row],[THE_ID]:[Webometrics_ID]])</f>
        <v>80</v>
      </c>
      <c r="AI19" t="str">
        <f>IF(Analiza_wRankingach[[#This Row],[LiczbaWystąpień]]&gt;=T20,"OK","UWAGA")</f>
        <v>OK</v>
      </c>
    </row>
    <row r="20" spans="1:35" x14ac:dyDescent="0.45">
      <c r="A20">
        <v>18</v>
      </c>
      <c r="B20" t="str">
        <f>Analiza_wRankingach[[#This Row],[Nazwa uczelni]]</f>
        <v>Tsinghua University</v>
      </c>
      <c r="C20">
        <f>Analiza_wRankingach[[#This Row],[WartośćKontrolna]]</f>
        <v>80</v>
      </c>
      <c r="D20">
        <f>Analiza_wRankingach[[#This Row],[THE_RV]]</f>
        <v>16</v>
      </c>
      <c r="E20">
        <f>Analiza_wRankingach[[#This Row],[ARWU_RV]]</f>
        <v>26</v>
      </c>
      <c r="F20">
        <f>Analiza_wRankingach[[#This Row],[QS_RV]]</f>
        <v>14</v>
      </c>
      <c r="G20">
        <f>Analiza_wRankingach[[#This Row],[Webometrics_RV]]</f>
        <v>24</v>
      </c>
      <c r="I20" t="s">
        <v>511</v>
      </c>
      <c r="J20">
        <v>18</v>
      </c>
      <c r="K20" t="s">
        <v>796</v>
      </c>
      <c r="L20">
        <v>18</v>
      </c>
      <c r="M20" t="s">
        <v>848</v>
      </c>
      <c r="O20" t="s">
        <v>89</v>
      </c>
      <c r="P20">
        <f>IF(SUMIFS(StandardName[IDinTheRanking],StandardName[StandardizedName],Analiza_wRankingach[[#This Row],[Nazwa uczelni]],StandardName[Ranking],"=THE")&gt;0,1,0)</f>
        <v>1</v>
      </c>
      <c r="Q20">
        <f>IF(SUMIFS(StandardName[IDinTheRanking],StandardName[StandardizedName],Analiza_wRankingach[[#This Row],[Nazwa uczelni]],StandardName[Ranking],"=ARWU")&gt;0,1,0)</f>
        <v>1</v>
      </c>
      <c r="R20">
        <f>IF(SUMIFS(StandardName[IDinTheRanking],StandardName[StandardizedName],Analiza_wRankingach[[#This Row],[Nazwa uczelni]],StandardName[Ranking],"=QS")&gt;0,1,0)</f>
        <v>1</v>
      </c>
      <c r="S20">
        <f>IF(SUMIFS(StandardName[IDinTheRanking],StandardName[StandardizedName],Analiza_wRankingach[[#This Row],[Nazwa uczelni]],StandardName[Ranking],"=Webometrics")&gt;0,1,0)</f>
        <v>1</v>
      </c>
      <c r="T20">
        <f>SUM(Analiza_wRankingach[[#This Row],[THE]:[Webometrics]])</f>
        <v>4</v>
      </c>
      <c r="U20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16</v>
      </c>
      <c r="V20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26</v>
      </c>
      <c r="W20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14</v>
      </c>
      <c r="X20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24</v>
      </c>
      <c r="Y20">
        <f>SUM(Analiza_wRankingach[[#This Row],[THE_RV1000]:[Webometrics_RV1000]])</f>
        <v>80</v>
      </c>
      <c r="Z20">
        <f>SUMIFS(StandardName[RankValueInTheRanking],StandardName[StandardizedName],Analiza_wRankingach[[#This Row],[Nazwa uczelni]],StandardName[Ranking],"=THE")</f>
        <v>16</v>
      </c>
      <c r="AA20">
        <f>SUMIFS(StandardName[RankValueInTheRanking],StandardName[StandardizedName],Analiza_wRankingach[[#This Row],[Nazwa uczelni]],StandardName[Ranking],"=ARWU")</f>
        <v>26</v>
      </c>
      <c r="AB20">
        <f>SUMIFS(StandardName[RankValueInTheRanking],StandardName[StandardizedName],Analiza_wRankingach[[#This Row],[Nazwa uczelni]],StandardName[Ranking],"=QS")</f>
        <v>14</v>
      </c>
      <c r="AC20">
        <f>SUMIFS(StandardName[RankValueInTheRanking],StandardName[StandardizedName],Analiza_wRankingach[[#This Row],[Nazwa uczelni]],StandardName[Ranking],"=Webometrics")</f>
        <v>24</v>
      </c>
      <c r="AD20">
        <f>SUMIFS(StandardName[IDinTheRanking],StandardName[StandardizedName],Analiza_wRankingach[[#This Row],[Nazwa uczelni]],StandardName[Ranking],"=THE")</f>
        <v>16</v>
      </c>
      <c r="AE20">
        <f>SUMIFS(StandardName[IDinTheRanking],StandardName[StandardizedName],Analiza_wRankingach[[#This Row],[Nazwa uczelni]],StandardName[Ranking],"=ARWU")</f>
        <v>26</v>
      </c>
      <c r="AF20">
        <f>SUMIFS(StandardName[IDinTheRanking],StandardName[StandardizedName],Analiza_wRankingach[[#This Row],[Nazwa uczelni]],StandardName[Ranking],"=QS")</f>
        <v>14</v>
      </c>
      <c r="AG20">
        <f>SUMIFS(StandardName[IDinTheRanking],StandardName[StandardizedName],Analiza_wRankingach[[#This Row],[Nazwa uczelni]],StandardName[Ranking],"=Webometrics")</f>
        <v>24</v>
      </c>
      <c r="AH20">
        <f>SUM(Analiza_wRankingach[[#This Row],[THE_ID]:[Webometrics_ID]])</f>
        <v>80</v>
      </c>
      <c r="AI20" t="str">
        <f>IF(Analiza_wRankingach[[#This Row],[LiczbaWystąpień]]&gt;=T21,"OK","UWAGA")</f>
        <v>OK</v>
      </c>
    </row>
    <row r="21" spans="1:35" x14ac:dyDescent="0.45">
      <c r="A21">
        <v>19</v>
      </c>
      <c r="B21" t="str">
        <f>Analiza_wRankingach[[#This Row],[Nazwa uczelni]]</f>
        <v>University of Michigan-Ann Arbor</v>
      </c>
      <c r="C21">
        <f>Analiza_wRankingach[[#This Row],[WartośćKontrolna]]</f>
        <v>82</v>
      </c>
      <c r="D21">
        <f>Analiza_wRankingach[[#This Row],[THE_RV]]</f>
        <v>23</v>
      </c>
      <c r="E21">
        <f>Analiza_wRankingach[[#This Row],[ARWU_RV]]</f>
        <v>28</v>
      </c>
      <c r="F21">
        <f>Analiza_wRankingach[[#This Row],[QS_RV]]</f>
        <v>25</v>
      </c>
      <c r="G21">
        <f>Analiza_wRankingach[[#This Row],[Webometrics_RV]]</f>
        <v>6</v>
      </c>
      <c r="I21" t="s">
        <v>513</v>
      </c>
      <c r="J21">
        <v>19</v>
      </c>
      <c r="K21" t="s">
        <v>809</v>
      </c>
      <c r="L21">
        <v>19</v>
      </c>
      <c r="M21" t="s">
        <v>848</v>
      </c>
      <c r="O21" t="s">
        <v>133</v>
      </c>
      <c r="P21">
        <f>IF(SUMIFS(StandardName[IDinTheRanking],StandardName[StandardizedName],Analiza_wRankingach[[#This Row],[Nazwa uczelni]],StandardName[Ranking],"=THE")&gt;0,1,0)</f>
        <v>1</v>
      </c>
      <c r="Q21">
        <f>IF(SUMIFS(StandardName[IDinTheRanking],StandardName[StandardizedName],Analiza_wRankingach[[#This Row],[Nazwa uczelni]],StandardName[Ranking],"=ARWU")&gt;0,1,0)</f>
        <v>1</v>
      </c>
      <c r="R21">
        <f>IF(SUMIFS(StandardName[IDinTheRanking],StandardName[StandardizedName],Analiza_wRankingach[[#This Row],[Nazwa uczelni]],StandardName[Ranking],"=QS")&gt;0,1,0)</f>
        <v>1</v>
      </c>
      <c r="S21">
        <f>IF(SUMIFS(StandardName[IDinTheRanking],StandardName[StandardizedName],Analiza_wRankingach[[#This Row],[Nazwa uczelni]],StandardName[Ranking],"=Webometrics")&gt;0,1,0)</f>
        <v>1</v>
      </c>
      <c r="T21">
        <f>SUM(Analiza_wRankingach[[#This Row],[THE]:[Webometrics]])</f>
        <v>4</v>
      </c>
      <c r="U21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23</v>
      </c>
      <c r="V21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28</v>
      </c>
      <c r="W21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25</v>
      </c>
      <c r="X21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6</v>
      </c>
      <c r="Y21">
        <f>SUM(Analiza_wRankingach[[#This Row],[THE_RV1000]:[Webometrics_RV1000]])</f>
        <v>82</v>
      </c>
      <c r="Z21">
        <f>SUMIFS(StandardName[RankValueInTheRanking],StandardName[StandardizedName],Analiza_wRankingach[[#This Row],[Nazwa uczelni]],StandardName[Ranking],"=THE")</f>
        <v>23</v>
      </c>
      <c r="AA21">
        <f>SUMIFS(StandardName[RankValueInTheRanking],StandardName[StandardizedName],Analiza_wRankingach[[#This Row],[Nazwa uczelni]],StandardName[Ranking],"=ARWU")</f>
        <v>28</v>
      </c>
      <c r="AB21">
        <f>SUMIFS(StandardName[RankValueInTheRanking],StandardName[StandardizedName],Analiza_wRankingach[[#This Row],[Nazwa uczelni]],StandardName[Ranking],"=QS")</f>
        <v>25</v>
      </c>
      <c r="AC21">
        <f>SUMIFS(StandardName[RankValueInTheRanking],StandardName[StandardizedName],Analiza_wRankingach[[#This Row],[Nazwa uczelni]],StandardName[Ranking],"=Webometrics")</f>
        <v>6</v>
      </c>
      <c r="AD21">
        <f>SUMIFS(StandardName[IDinTheRanking],StandardName[StandardizedName],Analiza_wRankingach[[#This Row],[Nazwa uczelni]],StandardName[Ranking],"=THE")</f>
        <v>23</v>
      </c>
      <c r="AE21">
        <f>SUMIFS(StandardName[IDinTheRanking],StandardName[StandardizedName],Analiza_wRankingach[[#This Row],[Nazwa uczelni]],StandardName[Ranking],"=ARWU")</f>
        <v>28</v>
      </c>
      <c r="AF21">
        <f>SUMIFS(StandardName[IDinTheRanking],StandardName[StandardizedName],Analiza_wRankingach[[#This Row],[Nazwa uczelni]],StandardName[Ranking],"=QS")</f>
        <v>25</v>
      </c>
      <c r="AG21">
        <f>SUMIFS(StandardName[IDinTheRanking],StandardName[StandardizedName],Analiza_wRankingach[[#This Row],[Nazwa uczelni]],StandardName[Ranking],"=Webometrics")</f>
        <v>6</v>
      </c>
      <c r="AH21">
        <f>SUM(Analiza_wRankingach[[#This Row],[THE_ID]:[Webometrics_ID]])</f>
        <v>82</v>
      </c>
      <c r="AI21" t="str">
        <f>IF(Analiza_wRankingach[[#This Row],[LiczbaWystąpień]]&gt;=T22,"OK","UWAGA")</f>
        <v>OK</v>
      </c>
    </row>
    <row r="22" spans="1:35" x14ac:dyDescent="0.45">
      <c r="A22">
        <v>20</v>
      </c>
      <c r="B22" t="str">
        <f>Analiza_wRankingach[[#This Row],[Nazwa uczelni]]</f>
        <v>University of Toronto</v>
      </c>
      <c r="C22">
        <f>Analiza_wRankingach[[#This Row],[WartośćKontrolna]]</f>
        <v>90</v>
      </c>
      <c r="D22">
        <f>Analiza_wRankingach[[#This Row],[THE_RV]]</f>
        <v>18</v>
      </c>
      <c r="E22">
        <f>Analiza_wRankingach[[#This Row],[ARWU_RV]]</f>
        <v>22</v>
      </c>
      <c r="F22">
        <f>Analiza_wRankingach[[#This Row],[QS_RV]]</f>
        <v>34</v>
      </c>
      <c r="G22">
        <f>Analiza_wRankingach[[#This Row],[Webometrics_RV]]</f>
        <v>16</v>
      </c>
      <c r="I22" t="s">
        <v>67</v>
      </c>
      <c r="J22">
        <v>20</v>
      </c>
      <c r="K22" t="s">
        <v>67</v>
      </c>
      <c r="L22">
        <v>20</v>
      </c>
      <c r="M22" t="s">
        <v>848</v>
      </c>
      <c r="O22" t="s">
        <v>102</v>
      </c>
      <c r="P22">
        <f>IF(SUMIFS(StandardName[IDinTheRanking],StandardName[StandardizedName],Analiza_wRankingach[[#This Row],[Nazwa uczelni]],StandardName[Ranking],"=THE")&gt;0,1,0)</f>
        <v>1</v>
      </c>
      <c r="Q22">
        <f>IF(SUMIFS(StandardName[IDinTheRanking],StandardName[StandardizedName],Analiza_wRankingach[[#This Row],[Nazwa uczelni]],StandardName[Ranking],"=ARWU")&gt;0,1,0)</f>
        <v>1</v>
      </c>
      <c r="R22">
        <f>IF(SUMIFS(StandardName[IDinTheRanking],StandardName[StandardizedName],Analiza_wRankingach[[#This Row],[Nazwa uczelni]],StandardName[Ranking],"=QS")&gt;0,1,0)</f>
        <v>1</v>
      </c>
      <c r="S22">
        <f>IF(SUMIFS(StandardName[IDinTheRanking],StandardName[StandardizedName],Analiza_wRankingach[[#This Row],[Nazwa uczelni]],StandardName[Ranking],"=Webometrics")&gt;0,1,0)</f>
        <v>1</v>
      </c>
      <c r="T22">
        <f>SUM(Analiza_wRankingach[[#This Row],[THE]:[Webometrics]])</f>
        <v>4</v>
      </c>
      <c r="U22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18</v>
      </c>
      <c r="V22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22</v>
      </c>
      <c r="W22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34</v>
      </c>
      <c r="X22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16</v>
      </c>
      <c r="Y22">
        <f>SUM(Analiza_wRankingach[[#This Row],[THE_RV1000]:[Webometrics_RV1000]])</f>
        <v>90</v>
      </c>
      <c r="Z22">
        <f>SUMIFS(StandardName[RankValueInTheRanking],StandardName[StandardizedName],Analiza_wRankingach[[#This Row],[Nazwa uczelni]],StandardName[Ranking],"=THE")</f>
        <v>18</v>
      </c>
      <c r="AA22">
        <f>SUMIFS(StandardName[RankValueInTheRanking],StandardName[StandardizedName],Analiza_wRankingach[[#This Row],[Nazwa uczelni]],StandardName[Ranking],"=ARWU")</f>
        <v>22</v>
      </c>
      <c r="AB22">
        <f>SUMIFS(StandardName[RankValueInTheRanking],StandardName[StandardizedName],Analiza_wRankingach[[#This Row],[Nazwa uczelni]],StandardName[Ranking],"=QS")</f>
        <v>34</v>
      </c>
      <c r="AC22">
        <f>SUMIFS(StandardName[RankValueInTheRanking],StandardName[StandardizedName],Analiza_wRankingach[[#This Row],[Nazwa uczelni]],StandardName[Ranking],"=Webometrics")</f>
        <v>16</v>
      </c>
      <c r="AD22">
        <f>SUMIFS(StandardName[IDinTheRanking],StandardName[StandardizedName],Analiza_wRankingach[[#This Row],[Nazwa uczelni]],StandardName[Ranking],"=THE")</f>
        <v>18</v>
      </c>
      <c r="AE22">
        <f>SUMIFS(StandardName[IDinTheRanking],StandardName[StandardizedName],Analiza_wRankingach[[#This Row],[Nazwa uczelni]],StandardName[Ranking],"=ARWU")</f>
        <v>22</v>
      </c>
      <c r="AF22">
        <f>SUMIFS(StandardName[IDinTheRanking],StandardName[StandardizedName],Analiza_wRankingach[[#This Row],[Nazwa uczelni]],StandardName[Ranking],"=QS")</f>
        <v>35</v>
      </c>
      <c r="AG22">
        <f>SUMIFS(StandardName[IDinTheRanking],StandardName[StandardizedName],Analiza_wRankingach[[#This Row],[Nazwa uczelni]],StandardName[Ranking],"=Webometrics")</f>
        <v>16</v>
      </c>
      <c r="AH22">
        <f>SUM(Analiza_wRankingach[[#This Row],[THE_ID]:[Webometrics_ID]])</f>
        <v>91</v>
      </c>
      <c r="AI22" t="str">
        <f>IF(Analiza_wRankingach[[#This Row],[LiczbaWystąpień]]&gt;=T23,"OK","UWAGA")</f>
        <v>OK</v>
      </c>
    </row>
    <row r="23" spans="1:35" x14ac:dyDescent="0.45">
      <c r="A23">
        <v>21</v>
      </c>
      <c r="B23" t="str">
        <f>Analiza_wRankingach[[#This Row],[Nazwa uczelni]]</f>
        <v>University of California Los Angeles UCLA</v>
      </c>
      <c r="C23">
        <f>Analiza_wRankingach[[#This Row],[WartośćKontrolna]]</f>
        <v>91</v>
      </c>
      <c r="D23">
        <f>Analiza_wRankingach[[#This Row],[THE_RV]]</f>
        <v>21</v>
      </c>
      <c r="E23">
        <f>Analiza_wRankingach[[#This Row],[ARWU_RV]]</f>
        <v>13</v>
      </c>
      <c r="F23">
        <f>Analiza_wRankingach[[#This Row],[QS_RV]]</f>
        <v>44</v>
      </c>
      <c r="G23">
        <f>Analiza_wRankingach[[#This Row],[Webometrics_RV]]</f>
        <v>13</v>
      </c>
      <c r="I23" t="s">
        <v>185</v>
      </c>
      <c r="J23">
        <v>21</v>
      </c>
      <c r="K23" t="s">
        <v>797</v>
      </c>
      <c r="L23">
        <v>21</v>
      </c>
      <c r="M23" t="s">
        <v>848</v>
      </c>
      <c r="O23" t="s">
        <v>795</v>
      </c>
      <c r="P23">
        <f>IF(SUMIFS(StandardName[IDinTheRanking],StandardName[StandardizedName],Analiza_wRankingach[[#This Row],[Nazwa uczelni]],StandardName[Ranking],"=THE")&gt;0,1,0)</f>
        <v>1</v>
      </c>
      <c r="Q23">
        <f>IF(SUMIFS(StandardName[IDinTheRanking],StandardName[StandardizedName],Analiza_wRankingach[[#This Row],[Nazwa uczelni]],StandardName[Ranking],"=ARWU")&gt;0,1,0)</f>
        <v>1</v>
      </c>
      <c r="R23">
        <f>IF(SUMIFS(StandardName[IDinTheRanking],StandardName[StandardizedName],Analiza_wRankingach[[#This Row],[Nazwa uczelni]],StandardName[Ranking],"=QS")&gt;0,1,0)</f>
        <v>1</v>
      </c>
      <c r="S23">
        <f>IF(SUMIFS(StandardName[IDinTheRanking],StandardName[StandardizedName],Analiza_wRankingach[[#This Row],[Nazwa uczelni]],StandardName[Ranking],"=Webometrics")&gt;0,1,0)</f>
        <v>1</v>
      </c>
      <c r="T23">
        <f>SUM(Analiza_wRankingach[[#This Row],[THE]:[Webometrics]])</f>
        <v>4</v>
      </c>
      <c r="U23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21</v>
      </c>
      <c r="V23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13</v>
      </c>
      <c r="W23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44</v>
      </c>
      <c r="X23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13</v>
      </c>
      <c r="Y23">
        <f>SUM(Analiza_wRankingach[[#This Row],[THE_RV1000]:[Webometrics_RV1000]])</f>
        <v>91</v>
      </c>
      <c r="Z23">
        <f>SUMIFS(StandardName[RankValueInTheRanking],StandardName[StandardizedName],Analiza_wRankingach[[#This Row],[Nazwa uczelni]],StandardName[Ranking],"=THE")</f>
        <v>21</v>
      </c>
      <c r="AA23">
        <f>SUMIFS(StandardName[RankValueInTheRanking],StandardName[StandardizedName],Analiza_wRankingach[[#This Row],[Nazwa uczelni]],StandardName[Ranking],"=ARWU")</f>
        <v>13</v>
      </c>
      <c r="AB23">
        <f>SUMIFS(StandardName[RankValueInTheRanking],StandardName[StandardizedName],Analiza_wRankingach[[#This Row],[Nazwa uczelni]],StandardName[Ranking],"=QS")</f>
        <v>44</v>
      </c>
      <c r="AC23">
        <f>SUMIFS(StandardName[RankValueInTheRanking],StandardName[StandardizedName],Analiza_wRankingach[[#This Row],[Nazwa uczelni]],StandardName[Ranking],"=Webometrics")</f>
        <v>13</v>
      </c>
      <c r="AD23">
        <f>SUMIFS(StandardName[IDinTheRanking],StandardName[StandardizedName],Analiza_wRankingach[[#This Row],[Nazwa uczelni]],StandardName[Ranking],"=THE")</f>
        <v>21</v>
      </c>
      <c r="AE23">
        <f>SUMIFS(StandardName[IDinTheRanking],StandardName[StandardizedName],Analiza_wRankingach[[#This Row],[Nazwa uczelni]],StandardName[Ranking],"=ARWU")</f>
        <v>13</v>
      </c>
      <c r="AF23">
        <f>SUMIFS(StandardName[IDinTheRanking],StandardName[StandardizedName],Analiza_wRankingach[[#This Row],[Nazwa uczelni]],StandardName[Ranking],"=QS")</f>
        <v>44</v>
      </c>
      <c r="AG23">
        <f>SUMIFS(StandardName[IDinTheRanking],StandardName[StandardizedName],Analiza_wRankingach[[#This Row],[Nazwa uczelni]],StandardName[Ranking],"=Webometrics")</f>
        <v>13</v>
      </c>
      <c r="AH23">
        <f>SUM(Analiza_wRankingach[[#This Row],[THE_ID]:[Webometrics_ID]])</f>
        <v>91</v>
      </c>
      <c r="AI23" t="str">
        <f>IF(Analiza_wRankingach[[#This Row],[LiczbaWystąpień]]&gt;=T24,"OK","UWAGA")</f>
        <v>OK</v>
      </c>
    </row>
    <row r="24" spans="1:35" x14ac:dyDescent="0.45">
      <c r="A24">
        <v>22</v>
      </c>
      <c r="B24" t="str">
        <f>Analiza_wRankingach[[#This Row],[Nazwa uczelni]]</f>
        <v>Peking University</v>
      </c>
      <c r="C24">
        <f>Analiza_wRankingach[[#This Row],[WartośćKontrolna]]</f>
        <v>95</v>
      </c>
      <c r="D24">
        <f>Analiza_wRankingach[[#This Row],[THE_RV]]</f>
        <v>17</v>
      </c>
      <c r="E24">
        <f>Analiza_wRankingach[[#This Row],[ARWU_RV]]</f>
        <v>34</v>
      </c>
      <c r="F24">
        <f>Analiza_wRankingach[[#This Row],[QS_RV]]</f>
        <v>12</v>
      </c>
      <c r="G24">
        <f>Analiza_wRankingach[[#This Row],[Webometrics_RV]]</f>
        <v>32</v>
      </c>
      <c r="I24" t="s">
        <v>102</v>
      </c>
      <c r="J24">
        <v>22</v>
      </c>
      <c r="K24" t="s">
        <v>102</v>
      </c>
      <c r="L24">
        <v>22</v>
      </c>
      <c r="M24" t="s">
        <v>848</v>
      </c>
      <c r="O24" t="s">
        <v>97</v>
      </c>
      <c r="P24">
        <f>IF(SUMIFS(StandardName[IDinTheRanking],StandardName[StandardizedName],Analiza_wRankingach[[#This Row],[Nazwa uczelni]],StandardName[Ranking],"=THE")&gt;0,1,0)</f>
        <v>1</v>
      </c>
      <c r="Q24">
        <f>IF(SUMIFS(StandardName[IDinTheRanking],StandardName[StandardizedName],Analiza_wRankingach[[#This Row],[Nazwa uczelni]],StandardName[Ranking],"=ARWU")&gt;0,1,0)</f>
        <v>1</v>
      </c>
      <c r="R24">
        <f>IF(SUMIFS(StandardName[IDinTheRanking],StandardName[StandardizedName],Analiza_wRankingach[[#This Row],[Nazwa uczelni]],StandardName[Ranking],"=QS")&gt;0,1,0)</f>
        <v>1</v>
      </c>
      <c r="S24">
        <f>IF(SUMIFS(StandardName[IDinTheRanking],StandardName[StandardizedName],Analiza_wRankingach[[#This Row],[Nazwa uczelni]],StandardName[Ranking],"=Webometrics")&gt;0,1,0)</f>
        <v>1</v>
      </c>
      <c r="T24">
        <f>SUM(Analiza_wRankingach[[#This Row],[THE]:[Webometrics]])</f>
        <v>4</v>
      </c>
      <c r="U24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17</v>
      </c>
      <c r="V24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34</v>
      </c>
      <c r="W24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12</v>
      </c>
      <c r="X24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32</v>
      </c>
      <c r="Y24">
        <f>SUM(Analiza_wRankingach[[#This Row],[THE_RV1000]:[Webometrics_RV1000]])</f>
        <v>95</v>
      </c>
      <c r="Z24">
        <f>SUMIFS(StandardName[RankValueInTheRanking],StandardName[StandardizedName],Analiza_wRankingach[[#This Row],[Nazwa uczelni]],StandardName[Ranking],"=THE")</f>
        <v>17</v>
      </c>
      <c r="AA24">
        <f>SUMIFS(StandardName[RankValueInTheRanking],StandardName[StandardizedName],Analiza_wRankingach[[#This Row],[Nazwa uczelni]],StandardName[Ranking],"=ARWU")</f>
        <v>34</v>
      </c>
      <c r="AB24">
        <f>SUMIFS(StandardName[RankValueInTheRanking],StandardName[StandardizedName],Analiza_wRankingach[[#This Row],[Nazwa uczelni]],StandardName[Ranking],"=QS")</f>
        <v>12</v>
      </c>
      <c r="AC24">
        <f>SUMIFS(StandardName[RankValueInTheRanking],StandardName[StandardizedName],Analiza_wRankingach[[#This Row],[Nazwa uczelni]],StandardName[Ranking],"=Webometrics")</f>
        <v>32</v>
      </c>
      <c r="AD24">
        <f>SUMIFS(StandardName[IDinTheRanking],StandardName[StandardizedName],Analiza_wRankingach[[#This Row],[Nazwa uczelni]],StandardName[Ranking],"=THE")</f>
        <v>17</v>
      </c>
      <c r="AE24">
        <f>SUMIFS(StandardName[IDinTheRanking],StandardName[StandardizedName],Analiza_wRankingach[[#This Row],[Nazwa uczelni]],StandardName[Ranking],"=ARWU")</f>
        <v>34</v>
      </c>
      <c r="AF24">
        <f>SUMIFS(StandardName[IDinTheRanking],StandardName[StandardizedName],Analiza_wRankingach[[#This Row],[Nazwa uczelni]],StandardName[Ranking],"=QS")</f>
        <v>12</v>
      </c>
      <c r="AG24">
        <f>SUMIFS(StandardName[IDinTheRanking],StandardName[StandardizedName],Analiza_wRankingach[[#This Row],[Nazwa uczelni]],StandardName[Ranking],"=Webometrics")</f>
        <v>32</v>
      </c>
      <c r="AH24">
        <f>SUM(Analiza_wRankingach[[#This Row],[THE_ID]:[Webometrics_ID]])</f>
        <v>95</v>
      </c>
      <c r="AI24" t="str">
        <f>IF(Analiza_wRankingach[[#This Row],[LiczbaWystąpień]]&gt;=T25,"OK","UWAGA")</f>
        <v>OK</v>
      </c>
    </row>
    <row r="25" spans="1:35" x14ac:dyDescent="0.45">
      <c r="A25">
        <v>23</v>
      </c>
      <c r="B25" t="str">
        <f>Analiza_wRankingach[[#This Row],[Nazwa uczelni]]</f>
        <v>Northwestern University</v>
      </c>
      <c r="C25">
        <f>Analiza_wRankingach[[#This Row],[WartośćKontrolna]]</f>
        <v>110</v>
      </c>
      <c r="D25">
        <f>Analiza_wRankingach[[#This Row],[THE_RV]]</f>
        <v>26</v>
      </c>
      <c r="E25">
        <f>Analiza_wRankingach[[#This Row],[ARWU_RV]]</f>
        <v>30</v>
      </c>
      <c r="F25">
        <f>Analiza_wRankingach[[#This Row],[QS_RV]]</f>
        <v>32</v>
      </c>
      <c r="G25">
        <f>Analiza_wRankingach[[#This Row],[Webometrics_RV]]</f>
        <v>22</v>
      </c>
      <c r="I25" t="s">
        <v>54</v>
      </c>
      <c r="J25">
        <v>23</v>
      </c>
      <c r="K25" t="s">
        <v>54</v>
      </c>
      <c r="L25">
        <v>23</v>
      </c>
      <c r="M25" t="s">
        <v>848</v>
      </c>
      <c r="O25" t="s">
        <v>151</v>
      </c>
      <c r="P25">
        <f>IF(SUMIFS(StandardName[IDinTheRanking],StandardName[StandardizedName],Analiza_wRankingach[[#This Row],[Nazwa uczelni]],StandardName[Ranking],"=THE")&gt;0,1,0)</f>
        <v>1</v>
      </c>
      <c r="Q25">
        <f>IF(SUMIFS(StandardName[IDinTheRanking],StandardName[StandardizedName],Analiza_wRankingach[[#This Row],[Nazwa uczelni]],StandardName[Ranking],"=ARWU")&gt;0,1,0)</f>
        <v>1</v>
      </c>
      <c r="R25">
        <f>IF(SUMIFS(StandardName[IDinTheRanking],StandardName[StandardizedName],Analiza_wRankingach[[#This Row],[Nazwa uczelni]],StandardName[Ranking],"=QS")&gt;0,1,0)</f>
        <v>1</v>
      </c>
      <c r="S25">
        <f>IF(SUMIFS(StandardName[IDinTheRanking],StandardName[StandardizedName],Analiza_wRankingach[[#This Row],[Nazwa uczelni]],StandardName[Ranking],"=Webometrics")&gt;0,1,0)</f>
        <v>1</v>
      </c>
      <c r="T25">
        <f>SUM(Analiza_wRankingach[[#This Row],[THE]:[Webometrics]])</f>
        <v>4</v>
      </c>
      <c r="U25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26</v>
      </c>
      <c r="V25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30</v>
      </c>
      <c r="W25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32</v>
      </c>
      <c r="X25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22</v>
      </c>
      <c r="Y25">
        <f>SUM(Analiza_wRankingach[[#This Row],[THE_RV1000]:[Webometrics_RV1000]])</f>
        <v>110</v>
      </c>
      <c r="Z25">
        <f>SUMIFS(StandardName[RankValueInTheRanking],StandardName[StandardizedName],Analiza_wRankingach[[#This Row],[Nazwa uczelni]],StandardName[Ranking],"=THE")</f>
        <v>26</v>
      </c>
      <c r="AA25">
        <f>SUMIFS(StandardName[RankValueInTheRanking],StandardName[StandardizedName],Analiza_wRankingach[[#This Row],[Nazwa uczelni]],StandardName[Ranking],"=ARWU")</f>
        <v>30</v>
      </c>
      <c r="AB25">
        <f>SUMIFS(StandardName[RankValueInTheRanking],StandardName[StandardizedName],Analiza_wRankingach[[#This Row],[Nazwa uczelni]],StandardName[Ranking],"=QS")</f>
        <v>32</v>
      </c>
      <c r="AC25">
        <f>SUMIFS(StandardName[RankValueInTheRanking],StandardName[StandardizedName],Analiza_wRankingach[[#This Row],[Nazwa uczelni]],StandardName[Ranking],"=Webometrics")</f>
        <v>22</v>
      </c>
      <c r="AD25">
        <f>SUMIFS(StandardName[IDinTheRanking],StandardName[StandardizedName],Analiza_wRankingach[[#This Row],[Nazwa uczelni]],StandardName[Ranking],"=THE")</f>
        <v>26</v>
      </c>
      <c r="AE25">
        <f>SUMIFS(StandardName[IDinTheRanking],StandardName[StandardizedName],Analiza_wRankingach[[#This Row],[Nazwa uczelni]],StandardName[Ranking],"=ARWU")</f>
        <v>30</v>
      </c>
      <c r="AF25">
        <f>SUMIFS(StandardName[IDinTheRanking],StandardName[StandardizedName],Analiza_wRankingach[[#This Row],[Nazwa uczelni]],StandardName[Ranking],"=QS")</f>
        <v>32</v>
      </c>
      <c r="AG25">
        <f>SUMIFS(StandardName[IDinTheRanking],StandardName[StandardizedName],Analiza_wRankingach[[#This Row],[Nazwa uczelni]],StandardName[Ranking],"=Webometrics")</f>
        <v>22</v>
      </c>
      <c r="AH25">
        <f>SUM(Analiza_wRankingach[[#This Row],[THE_ID]:[Webometrics_ID]])</f>
        <v>110</v>
      </c>
      <c r="AI25" t="str">
        <f>IF(Analiza_wRankingach[[#This Row],[LiczbaWystąpień]]&gt;=T26,"OK","UWAGA")</f>
        <v>OK</v>
      </c>
    </row>
    <row r="26" spans="1:35" x14ac:dyDescent="0.45">
      <c r="A26">
        <v>24</v>
      </c>
      <c r="B26" t="str">
        <f>Analiza_wRankingach[[#This Row],[Nazwa uczelni]]</f>
        <v>New York University</v>
      </c>
      <c r="C26">
        <f>Analiza_wRankingach[[#This Row],[WartośćKontrolna]]</f>
        <v>111</v>
      </c>
      <c r="D26">
        <f>Analiza_wRankingach[[#This Row],[THE_RV]]</f>
        <v>24</v>
      </c>
      <c r="E26">
        <f>Analiza_wRankingach[[#This Row],[ARWU_RV]]</f>
        <v>25</v>
      </c>
      <c r="F26">
        <f>Analiza_wRankingach[[#This Row],[QS_RV]]</f>
        <v>39</v>
      </c>
      <c r="G26">
        <f>Analiza_wRankingach[[#This Row],[Webometrics_RV]]</f>
        <v>23</v>
      </c>
      <c r="I26" t="s">
        <v>220</v>
      </c>
      <c r="J26">
        <v>24</v>
      </c>
      <c r="K26" t="s">
        <v>854</v>
      </c>
      <c r="L26">
        <v>24</v>
      </c>
      <c r="M26" t="s">
        <v>848</v>
      </c>
      <c r="O26" t="s">
        <v>139</v>
      </c>
      <c r="P26">
        <f>IF(SUMIFS(StandardName[IDinTheRanking],StandardName[StandardizedName],Analiza_wRankingach[[#This Row],[Nazwa uczelni]],StandardName[Ranking],"=THE")&gt;0,1,0)</f>
        <v>1</v>
      </c>
      <c r="Q26">
        <f>IF(SUMIFS(StandardName[IDinTheRanking],StandardName[StandardizedName],Analiza_wRankingach[[#This Row],[Nazwa uczelni]],StandardName[Ranking],"=ARWU")&gt;0,1,0)</f>
        <v>1</v>
      </c>
      <c r="R26">
        <f>IF(SUMIFS(StandardName[IDinTheRanking],StandardName[StandardizedName],Analiza_wRankingach[[#This Row],[Nazwa uczelni]],StandardName[Ranking],"=QS")&gt;0,1,0)</f>
        <v>1</v>
      </c>
      <c r="S26">
        <f>IF(SUMIFS(StandardName[IDinTheRanking],StandardName[StandardizedName],Analiza_wRankingach[[#This Row],[Nazwa uczelni]],StandardName[Ranking],"=Webometrics")&gt;0,1,0)</f>
        <v>1</v>
      </c>
      <c r="T26">
        <f>SUM(Analiza_wRankingach[[#This Row],[THE]:[Webometrics]])</f>
        <v>4</v>
      </c>
      <c r="U26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24</v>
      </c>
      <c r="V26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25</v>
      </c>
      <c r="W26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39</v>
      </c>
      <c r="X26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23</v>
      </c>
      <c r="Y26">
        <f>SUM(Analiza_wRankingach[[#This Row],[THE_RV1000]:[Webometrics_RV1000]])</f>
        <v>111</v>
      </c>
      <c r="Z26">
        <f>SUMIFS(StandardName[RankValueInTheRanking],StandardName[StandardizedName],Analiza_wRankingach[[#This Row],[Nazwa uczelni]],StandardName[Ranking],"=THE")</f>
        <v>24</v>
      </c>
      <c r="AA26">
        <f>SUMIFS(StandardName[RankValueInTheRanking],StandardName[StandardizedName],Analiza_wRankingach[[#This Row],[Nazwa uczelni]],StandardName[Ranking],"=ARWU")</f>
        <v>25</v>
      </c>
      <c r="AB26">
        <f>SUMIFS(StandardName[RankValueInTheRanking],StandardName[StandardizedName],Analiza_wRankingach[[#This Row],[Nazwa uczelni]],StandardName[Ranking],"=QS")</f>
        <v>39</v>
      </c>
      <c r="AC26">
        <f>SUMIFS(StandardName[RankValueInTheRanking],StandardName[StandardizedName],Analiza_wRankingach[[#This Row],[Nazwa uczelni]],StandardName[Ranking],"=Webometrics")</f>
        <v>23</v>
      </c>
      <c r="AD26">
        <f>SUMIFS(StandardName[IDinTheRanking],StandardName[StandardizedName],Analiza_wRankingach[[#This Row],[Nazwa uczelni]],StandardName[Ranking],"=THE")</f>
        <v>24</v>
      </c>
      <c r="AE26">
        <f>SUMIFS(StandardName[IDinTheRanking],StandardName[StandardizedName],Analiza_wRankingach[[#This Row],[Nazwa uczelni]],StandardName[Ranking],"=ARWU")</f>
        <v>25</v>
      </c>
      <c r="AF26">
        <f>SUMIFS(StandardName[IDinTheRanking],StandardName[StandardizedName],Analiza_wRankingach[[#This Row],[Nazwa uczelni]],StandardName[Ranking],"=QS")</f>
        <v>39</v>
      </c>
      <c r="AG26">
        <f>SUMIFS(StandardName[IDinTheRanking],StandardName[StandardizedName],Analiza_wRankingach[[#This Row],[Nazwa uczelni]],StandardName[Ranking],"=Webometrics")</f>
        <v>23</v>
      </c>
      <c r="AH26">
        <f>SUM(Analiza_wRankingach[[#This Row],[THE_ID]:[Webometrics_ID]])</f>
        <v>111</v>
      </c>
      <c r="AI26" t="str">
        <f>IF(Analiza_wRankingach[[#This Row],[LiczbaWystąpień]]&gt;=T27,"OK","UWAGA")</f>
        <v>OK</v>
      </c>
    </row>
    <row r="27" spans="1:35" x14ac:dyDescent="0.45">
      <c r="A27">
        <v>25</v>
      </c>
      <c r="B27" t="str">
        <f>Analiza_wRankingach[[#This Row],[Nazwa uczelni]]</f>
        <v>University of California San Diego</v>
      </c>
      <c r="C27">
        <f>Analiza_wRankingach[[#This Row],[WartośćKontrolna]]</f>
        <v>123</v>
      </c>
      <c r="D27">
        <f>Analiza_wRankingach[[#This Row],[THE_RV]]</f>
        <v>32</v>
      </c>
      <c r="E27">
        <f>Analiza_wRankingach[[#This Row],[ARWU_RV]]</f>
        <v>21</v>
      </c>
      <c r="F27">
        <f>Analiza_wRankingach[[#This Row],[QS_RV]]</f>
        <v>53</v>
      </c>
      <c r="G27">
        <f>Analiza_wRankingach[[#This Row],[Webometrics_RV]]</f>
        <v>17</v>
      </c>
      <c r="I27" t="s">
        <v>139</v>
      </c>
      <c r="J27">
        <v>25</v>
      </c>
      <c r="K27" t="s">
        <v>139</v>
      </c>
      <c r="L27">
        <v>25</v>
      </c>
      <c r="M27" t="s">
        <v>848</v>
      </c>
      <c r="O27" t="s">
        <v>797</v>
      </c>
      <c r="P27">
        <f>IF(SUMIFS(StandardName[IDinTheRanking],StandardName[StandardizedName],Analiza_wRankingach[[#This Row],[Nazwa uczelni]],StandardName[Ranking],"=THE")&gt;0,1,0)</f>
        <v>1</v>
      </c>
      <c r="Q27">
        <f>IF(SUMIFS(StandardName[IDinTheRanking],StandardName[StandardizedName],Analiza_wRankingach[[#This Row],[Nazwa uczelni]],StandardName[Ranking],"=ARWU")&gt;0,1,0)</f>
        <v>1</v>
      </c>
      <c r="R27">
        <f>IF(SUMIFS(StandardName[IDinTheRanking],StandardName[StandardizedName],Analiza_wRankingach[[#This Row],[Nazwa uczelni]],StandardName[Ranking],"=QS")&gt;0,1,0)</f>
        <v>1</v>
      </c>
      <c r="S27">
        <f>IF(SUMIFS(StandardName[IDinTheRanking],StandardName[StandardizedName],Analiza_wRankingach[[#This Row],[Nazwa uczelni]],StandardName[Ranking],"=Webometrics")&gt;0,1,0)</f>
        <v>1</v>
      </c>
      <c r="T27">
        <f>SUM(Analiza_wRankingach[[#This Row],[THE]:[Webometrics]])</f>
        <v>4</v>
      </c>
      <c r="U27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32</v>
      </c>
      <c r="V27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21</v>
      </c>
      <c r="W27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53</v>
      </c>
      <c r="X27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17</v>
      </c>
      <c r="Y27">
        <f>SUM(Analiza_wRankingach[[#This Row],[THE_RV1000]:[Webometrics_RV1000]])</f>
        <v>123</v>
      </c>
      <c r="Z27">
        <f>SUMIFS(StandardName[RankValueInTheRanking],StandardName[StandardizedName],Analiza_wRankingach[[#This Row],[Nazwa uczelni]],StandardName[Ranking],"=THE")</f>
        <v>32</v>
      </c>
      <c r="AA27">
        <f>SUMIFS(StandardName[RankValueInTheRanking],StandardName[StandardizedName],Analiza_wRankingach[[#This Row],[Nazwa uczelni]],StandardName[Ranking],"=ARWU")</f>
        <v>21</v>
      </c>
      <c r="AB27">
        <f>SUMIFS(StandardName[RankValueInTheRanking],StandardName[StandardizedName],Analiza_wRankingach[[#This Row],[Nazwa uczelni]],StandardName[Ranking],"=QS")</f>
        <v>53</v>
      </c>
      <c r="AC27">
        <f>SUMIFS(StandardName[RankValueInTheRanking],StandardName[StandardizedName],Analiza_wRankingach[[#This Row],[Nazwa uczelni]],StandardName[Ranking],"=Webometrics")</f>
        <v>17</v>
      </c>
      <c r="AD27">
        <f>SUMIFS(StandardName[IDinTheRanking],StandardName[StandardizedName],Analiza_wRankingach[[#This Row],[Nazwa uczelni]],StandardName[Ranking],"=THE")</f>
        <v>32</v>
      </c>
      <c r="AE27">
        <f>SUMIFS(StandardName[IDinTheRanking],StandardName[StandardizedName],Analiza_wRankingach[[#This Row],[Nazwa uczelni]],StandardName[Ranking],"=ARWU")</f>
        <v>21</v>
      </c>
      <c r="AF27">
        <f>SUMIFS(StandardName[IDinTheRanking],StandardName[StandardizedName],Analiza_wRankingach[[#This Row],[Nazwa uczelni]],StandardName[Ranking],"=QS")</f>
        <v>53</v>
      </c>
      <c r="AG27">
        <f>SUMIFS(StandardName[IDinTheRanking],StandardName[StandardizedName],Analiza_wRankingach[[#This Row],[Nazwa uczelni]],StandardName[Ranking],"=Webometrics")</f>
        <v>17</v>
      </c>
      <c r="AH27">
        <f>SUM(Analiza_wRankingach[[#This Row],[THE_ID]:[Webometrics_ID]])</f>
        <v>123</v>
      </c>
      <c r="AI27" t="str">
        <f>IF(Analiza_wRankingach[[#This Row],[LiczbaWystąpień]]&gt;=T28,"OK","UWAGA")</f>
        <v>OK</v>
      </c>
    </row>
    <row r="28" spans="1:35" x14ac:dyDescent="0.45">
      <c r="A28">
        <v>26</v>
      </c>
      <c r="B28" t="str">
        <f>Analiza_wRankingach[[#This Row],[Nazwa uczelni]]</f>
        <v>University of Edinburgh</v>
      </c>
      <c r="C28">
        <f>Analiza_wRankingach[[#This Row],[WartośćKontrolna]]</f>
        <v>123</v>
      </c>
      <c r="D28">
        <f>Analiza_wRankingach[[#This Row],[THE_RV]]</f>
        <v>29</v>
      </c>
      <c r="E28">
        <f>Analiza_wRankingach[[#This Row],[ARWU_RV]]</f>
        <v>35</v>
      </c>
      <c r="F28">
        <f>Analiza_wRankingach[[#This Row],[QS_RV]]</f>
        <v>15</v>
      </c>
      <c r="G28">
        <f>Analiza_wRankingach[[#This Row],[Webometrics_RV]]</f>
        <v>44</v>
      </c>
      <c r="I28" t="s">
        <v>89</v>
      </c>
      <c r="J28">
        <v>26</v>
      </c>
      <c r="K28" t="s">
        <v>89</v>
      </c>
      <c r="L28">
        <v>26</v>
      </c>
      <c r="M28" t="s">
        <v>848</v>
      </c>
      <c r="O28" t="s">
        <v>169</v>
      </c>
      <c r="P28">
        <f>IF(SUMIFS(StandardName[IDinTheRanking],StandardName[StandardizedName],Analiza_wRankingach[[#This Row],[Nazwa uczelni]],StandardName[Ranking],"=THE")&gt;0,1,0)</f>
        <v>1</v>
      </c>
      <c r="Q28">
        <f>IF(SUMIFS(StandardName[IDinTheRanking],StandardName[StandardizedName],Analiza_wRankingach[[#This Row],[Nazwa uczelni]],StandardName[Ranking],"=ARWU")&gt;0,1,0)</f>
        <v>1</v>
      </c>
      <c r="R28">
        <f>IF(SUMIFS(StandardName[IDinTheRanking],StandardName[StandardizedName],Analiza_wRankingach[[#This Row],[Nazwa uczelni]],StandardName[Ranking],"=QS")&gt;0,1,0)</f>
        <v>1</v>
      </c>
      <c r="S28">
        <f>IF(SUMIFS(StandardName[IDinTheRanking],StandardName[StandardizedName],Analiza_wRankingach[[#This Row],[Nazwa uczelni]],StandardName[Ranking],"=Webometrics")&gt;0,1,0)</f>
        <v>1</v>
      </c>
      <c r="T28">
        <f>SUM(Analiza_wRankingach[[#This Row],[THE]:[Webometrics]])</f>
        <v>4</v>
      </c>
      <c r="U28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29</v>
      </c>
      <c r="V28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35</v>
      </c>
      <c r="W28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15</v>
      </c>
      <c r="X28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44</v>
      </c>
      <c r="Y28">
        <f>SUM(Analiza_wRankingach[[#This Row],[THE_RV1000]:[Webometrics_RV1000]])</f>
        <v>123</v>
      </c>
      <c r="Z28">
        <f>SUMIFS(StandardName[RankValueInTheRanking],StandardName[StandardizedName],Analiza_wRankingach[[#This Row],[Nazwa uczelni]],StandardName[Ranking],"=THE")</f>
        <v>29</v>
      </c>
      <c r="AA28">
        <f>SUMIFS(StandardName[RankValueInTheRanking],StandardName[StandardizedName],Analiza_wRankingach[[#This Row],[Nazwa uczelni]],StandardName[Ranking],"=ARWU")</f>
        <v>35</v>
      </c>
      <c r="AB28">
        <f>SUMIFS(StandardName[RankValueInTheRanking],StandardName[StandardizedName],Analiza_wRankingach[[#This Row],[Nazwa uczelni]],StandardName[Ranking],"=QS")</f>
        <v>15</v>
      </c>
      <c r="AC28">
        <f>SUMIFS(StandardName[RankValueInTheRanking],StandardName[StandardizedName],Analiza_wRankingach[[#This Row],[Nazwa uczelni]],StandardName[Ranking],"=Webometrics")</f>
        <v>44</v>
      </c>
      <c r="AD28">
        <f>SUMIFS(StandardName[IDinTheRanking],StandardName[StandardizedName],Analiza_wRankingach[[#This Row],[Nazwa uczelni]],StandardName[Ranking],"=THE")</f>
        <v>29</v>
      </c>
      <c r="AE28">
        <f>SUMIFS(StandardName[IDinTheRanking],StandardName[StandardizedName],Analiza_wRankingach[[#This Row],[Nazwa uczelni]],StandardName[Ranking],"=ARWU")</f>
        <v>35</v>
      </c>
      <c r="AF28">
        <f>SUMIFS(StandardName[IDinTheRanking],StandardName[StandardizedName],Analiza_wRankingach[[#This Row],[Nazwa uczelni]],StandardName[Ranking],"=QS")</f>
        <v>15</v>
      </c>
      <c r="AG28">
        <f>SUMIFS(StandardName[IDinTheRanking],StandardName[StandardizedName],Analiza_wRankingach[[#This Row],[Nazwa uczelni]],StandardName[Ranking],"=Webometrics")</f>
        <v>44</v>
      </c>
      <c r="AH28">
        <f>SUM(Analiza_wRankingach[[#This Row],[THE_ID]:[Webometrics_ID]])</f>
        <v>123</v>
      </c>
      <c r="AI28" t="str">
        <f>IF(Analiza_wRankingach[[#This Row],[LiczbaWystąpień]]&gt;=T29,"OK","UWAGA")</f>
        <v>OK</v>
      </c>
    </row>
    <row r="29" spans="1:35" x14ac:dyDescent="0.45">
      <c r="A29">
        <v>27</v>
      </c>
      <c r="B29" t="str">
        <f>Analiza_wRankingach[[#This Row],[Nazwa uczelni]]</f>
        <v>Duke University</v>
      </c>
      <c r="C29">
        <f>Analiza_wRankingach[[#This Row],[WartośćKontrolna]]</f>
        <v>127</v>
      </c>
      <c r="D29">
        <f>Analiza_wRankingach[[#This Row],[THE_RV]]</f>
        <v>25</v>
      </c>
      <c r="E29">
        <f>Analiza_wRankingach[[#This Row],[ARWU_RV]]</f>
        <v>31</v>
      </c>
      <c r="F29">
        <f>Analiza_wRankingach[[#This Row],[QS_RV]]</f>
        <v>50</v>
      </c>
      <c r="G29">
        <f>Analiza_wRankingach[[#This Row],[Webometrics_RV]]</f>
        <v>21</v>
      </c>
      <c r="I29" t="s">
        <v>522</v>
      </c>
      <c r="J29">
        <v>27</v>
      </c>
      <c r="K29" t="s">
        <v>313</v>
      </c>
      <c r="L29">
        <v>27</v>
      </c>
      <c r="M29" t="s">
        <v>848</v>
      </c>
      <c r="O29" t="s">
        <v>145</v>
      </c>
      <c r="P29">
        <f>IF(SUMIFS(StandardName[IDinTheRanking],StandardName[StandardizedName],Analiza_wRankingach[[#This Row],[Nazwa uczelni]],StandardName[Ranking],"=THE")&gt;0,1,0)</f>
        <v>1</v>
      </c>
      <c r="Q29">
        <f>IF(SUMIFS(StandardName[IDinTheRanking],StandardName[StandardizedName],Analiza_wRankingach[[#This Row],[Nazwa uczelni]],StandardName[Ranking],"=ARWU")&gt;0,1,0)</f>
        <v>1</v>
      </c>
      <c r="R29">
        <f>IF(SUMIFS(StandardName[IDinTheRanking],StandardName[StandardizedName],Analiza_wRankingach[[#This Row],[Nazwa uczelni]],StandardName[Ranking],"=QS")&gt;0,1,0)</f>
        <v>1</v>
      </c>
      <c r="S29">
        <f>IF(SUMIFS(StandardName[IDinTheRanking],StandardName[StandardizedName],Analiza_wRankingach[[#This Row],[Nazwa uczelni]],StandardName[Ranking],"=Webometrics")&gt;0,1,0)</f>
        <v>1</v>
      </c>
      <c r="T29">
        <f>SUM(Analiza_wRankingach[[#This Row],[THE]:[Webometrics]])</f>
        <v>4</v>
      </c>
      <c r="U29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25</v>
      </c>
      <c r="V29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31</v>
      </c>
      <c r="W29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50</v>
      </c>
      <c r="X29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21</v>
      </c>
      <c r="Y29">
        <f>SUM(Analiza_wRankingach[[#This Row],[THE_RV1000]:[Webometrics_RV1000]])</f>
        <v>127</v>
      </c>
      <c r="Z29">
        <f>SUMIFS(StandardName[RankValueInTheRanking],StandardName[StandardizedName],Analiza_wRankingach[[#This Row],[Nazwa uczelni]],StandardName[Ranking],"=THE")</f>
        <v>25</v>
      </c>
      <c r="AA29">
        <f>SUMIFS(StandardName[RankValueInTheRanking],StandardName[StandardizedName],Analiza_wRankingach[[#This Row],[Nazwa uczelni]],StandardName[Ranking],"=ARWU")</f>
        <v>31</v>
      </c>
      <c r="AB29">
        <f>SUMIFS(StandardName[RankValueInTheRanking],StandardName[StandardizedName],Analiza_wRankingach[[#This Row],[Nazwa uczelni]],StandardName[Ranking],"=QS")</f>
        <v>50</v>
      </c>
      <c r="AC29">
        <f>SUMIFS(StandardName[RankValueInTheRanking],StandardName[StandardizedName],Analiza_wRankingach[[#This Row],[Nazwa uczelni]],StandardName[Ranking],"=Webometrics")</f>
        <v>21</v>
      </c>
      <c r="AD29">
        <f>SUMIFS(StandardName[IDinTheRanking],StandardName[StandardizedName],Analiza_wRankingach[[#This Row],[Nazwa uczelni]],StandardName[Ranking],"=THE")</f>
        <v>25</v>
      </c>
      <c r="AE29">
        <f>SUMIFS(StandardName[IDinTheRanking],StandardName[StandardizedName],Analiza_wRankingach[[#This Row],[Nazwa uczelni]],StandardName[Ranking],"=ARWU")</f>
        <v>31</v>
      </c>
      <c r="AF29">
        <f>SUMIFS(StandardName[IDinTheRanking],StandardName[StandardizedName],Analiza_wRankingach[[#This Row],[Nazwa uczelni]],StandardName[Ranking],"=QS")</f>
        <v>50</v>
      </c>
      <c r="AG29">
        <f>SUMIFS(StandardName[IDinTheRanking],StandardName[StandardizedName],Analiza_wRankingach[[#This Row],[Nazwa uczelni]],StandardName[Ranking],"=Webometrics")</f>
        <v>21</v>
      </c>
      <c r="AH29">
        <f>SUM(Analiza_wRankingach[[#This Row],[THE_ID]:[Webometrics_ID]])</f>
        <v>127</v>
      </c>
      <c r="AI29" t="str">
        <f>IF(Analiza_wRankingach[[#This Row],[LiczbaWystąpień]]&gt;=T30,"OK","UWAGA")</f>
        <v>OK</v>
      </c>
    </row>
    <row r="30" spans="1:35" x14ac:dyDescent="0.45">
      <c r="A30">
        <v>28</v>
      </c>
      <c r="B30" t="str">
        <f>Analiza_wRankingach[[#This Row],[Nazwa uczelni]]</f>
        <v>University of Washington</v>
      </c>
      <c r="C30">
        <f>Analiza_wRankingach[[#This Row],[WartośćKontrolna]]</f>
        <v>130</v>
      </c>
      <c r="D30">
        <f>Analiza_wRankingach[[#This Row],[THE_RV]]</f>
        <v>26</v>
      </c>
      <c r="E30">
        <f>Analiza_wRankingach[[#This Row],[ARWU_RV]]</f>
        <v>17</v>
      </c>
      <c r="F30">
        <f>Analiza_wRankingach[[#This Row],[QS_RV]]</f>
        <v>80</v>
      </c>
      <c r="G30">
        <f>Analiza_wRankingach[[#This Row],[Webometrics_RV]]</f>
        <v>7</v>
      </c>
      <c r="I30" t="s">
        <v>133</v>
      </c>
      <c r="J30">
        <v>28</v>
      </c>
      <c r="K30" t="s">
        <v>133</v>
      </c>
      <c r="L30">
        <v>28</v>
      </c>
      <c r="M30" t="s">
        <v>848</v>
      </c>
      <c r="O30" t="s">
        <v>157</v>
      </c>
      <c r="P30">
        <f>IF(SUMIFS(StandardName[IDinTheRanking],StandardName[StandardizedName],Analiza_wRankingach[[#This Row],[Nazwa uczelni]],StandardName[Ranking],"=THE")&gt;0,1,0)</f>
        <v>1</v>
      </c>
      <c r="Q30">
        <f>IF(SUMIFS(StandardName[IDinTheRanking],StandardName[StandardizedName],Analiza_wRankingach[[#This Row],[Nazwa uczelni]],StandardName[Ranking],"=ARWU")&gt;0,1,0)</f>
        <v>1</v>
      </c>
      <c r="R30">
        <f>IF(SUMIFS(StandardName[IDinTheRanking],StandardName[StandardizedName],Analiza_wRankingach[[#This Row],[Nazwa uczelni]],StandardName[Ranking],"=QS")&gt;0,1,0)</f>
        <v>1</v>
      </c>
      <c r="S30">
        <f>IF(SUMIFS(StandardName[IDinTheRanking],StandardName[StandardizedName],Analiza_wRankingach[[#This Row],[Nazwa uczelni]],StandardName[Ranking],"=Webometrics")&gt;0,1,0)</f>
        <v>1</v>
      </c>
      <c r="T30">
        <f>SUM(Analiza_wRankingach[[#This Row],[THE]:[Webometrics]])</f>
        <v>4</v>
      </c>
      <c r="U30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26</v>
      </c>
      <c r="V30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17</v>
      </c>
      <c r="W30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80</v>
      </c>
      <c r="X30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7</v>
      </c>
      <c r="Y30">
        <f>SUM(Analiza_wRankingach[[#This Row],[THE_RV1000]:[Webometrics_RV1000]])</f>
        <v>130</v>
      </c>
      <c r="Z30">
        <f>SUMIFS(StandardName[RankValueInTheRanking],StandardName[StandardizedName],Analiza_wRankingach[[#This Row],[Nazwa uczelni]],StandardName[Ranking],"=THE")</f>
        <v>26</v>
      </c>
      <c r="AA30">
        <f>SUMIFS(StandardName[RankValueInTheRanking],StandardName[StandardizedName],Analiza_wRankingach[[#This Row],[Nazwa uczelni]],StandardName[Ranking],"=ARWU")</f>
        <v>17</v>
      </c>
      <c r="AB30">
        <f>SUMIFS(StandardName[RankValueInTheRanking],StandardName[StandardizedName],Analiza_wRankingach[[#This Row],[Nazwa uczelni]],StandardName[Ranking],"=QS")</f>
        <v>80</v>
      </c>
      <c r="AC30">
        <f>SUMIFS(StandardName[RankValueInTheRanking],StandardName[StandardizedName],Analiza_wRankingach[[#This Row],[Nazwa uczelni]],StandardName[Ranking],"=Webometrics")</f>
        <v>7</v>
      </c>
      <c r="AD30">
        <f>SUMIFS(StandardName[IDinTheRanking],StandardName[StandardizedName],Analiza_wRankingach[[#This Row],[Nazwa uczelni]],StandardName[Ranking],"=THE")</f>
        <v>27</v>
      </c>
      <c r="AE30">
        <f>SUMIFS(StandardName[IDinTheRanking],StandardName[StandardizedName],Analiza_wRankingach[[#This Row],[Nazwa uczelni]],StandardName[Ranking],"=ARWU")</f>
        <v>17</v>
      </c>
      <c r="AF30">
        <f>SUMIFS(StandardName[IDinTheRanking],StandardName[StandardizedName],Analiza_wRankingach[[#This Row],[Nazwa uczelni]],StandardName[Ranking],"=QS")</f>
        <v>80</v>
      </c>
      <c r="AG30">
        <f>SUMIFS(StandardName[IDinTheRanking],StandardName[StandardizedName],Analiza_wRankingach[[#This Row],[Nazwa uczelni]],StandardName[Ranking],"=Webometrics")</f>
        <v>7</v>
      </c>
      <c r="AH30">
        <f>SUM(Analiza_wRankingach[[#This Row],[THE_ID]:[Webometrics_ID]])</f>
        <v>131</v>
      </c>
      <c r="AI30" t="str">
        <f>IF(Analiza_wRankingach[[#This Row],[LiczbaWystąpień]]&gt;=T31,"OK","UWAGA")</f>
        <v>OK</v>
      </c>
    </row>
    <row r="31" spans="1:35" x14ac:dyDescent="0.45">
      <c r="A31">
        <v>29</v>
      </c>
      <c r="B31" t="str">
        <f>Analiza_wRankingach[[#This Row],[Nazwa uczelni]]</f>
        <v>University of Melbourne</v>
      </c>
      <c r="C31">
        <f>Analiza_wRankingach[[#This Row],[WartośćKontrolna]]</f>
        <v>139</v>
      </c>
      <c r="D31">
        <f>Analiza_wRankingach[[#This Row],[THE_RV]]</f>
        <v>34</v>
      </c>
      <c r="E31">
        <f>Analiza_wRankingach[[#This Row],[ARWU_RV]]</f>
        <v>32</v>
      </c>
      <c r="F31">
        <f>Analiza_wRankingach[[#This Row],[QS_RV]]</f>
        <v>33</v>
      </c>
      <c r="G31">
        <f>Analiza_wRankingach[[#This Row],[Webometrics_RV]]</f>
        <v>40</v>
      </c>
      <c r="I31" t="s">
        <v>366</v>
      </c>
      <c r="J31">
        <v>29</v>
      </c>
      <c r="K31" t="s">
        <v>366</v>
      </c>
      <c r="L31">
        <v>29</v>
      </c>
      <c r="M31" t="s">
        <v>848</v>
      </c>
      <c r="O31" t="s">
        <v>194</v>
      </c>
      <c r="P31">
        <f>IF(SUMIFS(StandardName[IDinTheRanking],StandardName[StandardizedName],Analiza_wRankingach[[#This Row],[Nazwa uczelni]],StandardName[Ranking],"=THE")&gt;0,1,0)</f>
        <v>1</v>
      </c>
      <c r="Q31">
        <f>IF(SUMIFS(StandardName[IDinTheRanking],StandardName[StandardizedName],Analiza_wRankingach[[#This Row],[Nazwa uczelni]],StandardName[Ranking],"=ARWU")&gt;0,1,0)</f>
        <v>1</v>
      </c>
      <c r="R31">
        <f>IF(SUMIFS(StandardName[IDinTheRanking],StandardName[StandardizedName],Analiza_wRankingach[[#This Row],[Nazwa uczelni]],StandardName[Ranking],"=QS")&gt;0,1,0)</f>
        <v>1</v>
      </c>
      <c r="S31">
        <f>IF(SUMIFS(StandardName[IDinTheRanking],StandardName[StandardizedName],Analiza_wRankingach[[#This Row],[Nazwa uczelni]],StandardName[Ranking],"=Webometrics")&gt;0,1,0)</f>
        <v>1</v>
      </c>
      <c r="T31">
        <f>SUM(Analiza_wRankingach[[#This Row],[THE]:[Webometrics]])</f>
        <v>4</v>
      </c>
      <c r="U31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34</v>
      </c>
      <c r="V31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32</v>
      </c>
      <c r="W31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33</v>
      </c>
      <c r="X31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40</v>
      </c>
      <c r="Y31">
        <f>SUM(Analiza_wRankingach[[#This Row],[THE_RV1000]:[Webometrics_RV1000]])</f>
        <v>139</v>
      </c>
      <c r="Z31">
        <f>SUMIFS(StandardName[RankValueInTheRanking],StandardName[StandardizedName],Analiza_wRankingach[[#This Row],[Nazwa uczelni]],StandardName[Ranking],"=THE")</f>
        <v>34</v>
      </c>
      <c r="AA31">
        <f>SUMIFS(StandardName[RankValueInTheRanking],StandardName[StandardizedName],Analiza_wRankingach[[#This Row],[Nazwa uczelni]],StandardName[Ranking],"=ARWU")</f>
        <v>32</v>
      </c>
      <c r="AB31">
        <f>SUMIFS(StandardName[RankValueInTheRanking],StandardName[StandardizedName],Analiza_wRankingach[[#This Row],[Nazwa uczelni]],StandardName[Ranking],"=QS")</f>
        <v>33</v>
      </c>
      <c r="AC31">
        <f>SUMIFS(StandardName[RankValueInTheRanking],StandardName[StandardizedName],Analiza_wRankingach[[#This Row],[Nazwa uczelni]],StandardName[Ranking],"=Webometrics")</f>
        <v>40</v>
      </c>
      <c r="AD31">
        <f>SUMIFS(StandardName[IDinTheRanking],StandardName[StandardizedName],Analiza_wRankingach[[#This Row],[Nazwa uczelni]],StandardName[Ranking],"=THE")</f>
        <v>34</v>
      </c>
      <c r="AE31">
        <f>SUMIFS(StandardName[IDinTheRanking],StandardName[StandardizedName],Analiza_wRankingach[[#This Row],[Nazwa uczelni]],StandardName[Ranking],"=ARWU")</f>
        <v>32</v>
      </c>
      <c r="AF31">
        <f>SUMIFS(StandardName[IDinTheRanking],StandardName[StandardizedName],Analiza_wRankingach[[#This Row],[Nazwa uczelni]],StandardName[Ranking],"=QS")</f>
        <v>33</v>
      </c>
      <c r="AG31">
        <f>SUMIFS(StandardName[IDinTheRanking],StandardName[StandardizedName],Analiza_wRankingach[[#This Row],[Nazwa uczelni]],StandardName[Ranking],"=Webometrics")</f>
        <v>40</v>
      </c>
      <c r="AH31">
        <f>SUM(Analiza_wRankingach[[#This Row],[THE_ID]:[Webometrics_ID]])</f>
        <v>139</v>
      </c>
      <c r="AI31" t="str">
        <f>IF(Analiza_wRankingach[[#This Row],[LiczbaWystąpień]]&gt;=T32,"OK","UWAGA")</f>
        <v>OK</v>
      </c>
    </row>
    <row r="32" spans="1:35" x14ac:dyDescent="0.45">
      <c r="A32">
        <v>30</v>
      </c>
      <c r="B32" t="str">
        <f>Analiza_wRankingach[[#This Row],[Nazwa uczelni]]</f>
        <v>National University of Singapore</v>
      </c>
      <c r="C32">
        <f>Analiza_wRankingach[[#This Row],[WartośćKontrolna]]</f>
        <v>148</v>
      </c>
      <c r="D32">
        <f>Analiza_wRankingach[[#This Row],[THE_RV]]</f>
        <v>19</v>
      </c>
      <c r="E32">
        <f>Analiza_wRankingach[[#This Row],[ARWU_RV]]</f>
        <v>71</v>
      </c>
      <c r="F32">
        <f>Analiza_wRankingach[[#This Row],[QS_RV]]</f>
        <v>11</v>
      </c>
      <c r="G32">
        <f>Analiza_wRankingach[[#This Row],[Webometrics_RV]]</f>
        <v>47</v>
      </c>
      <c r="I32" t="s">
        <v>151</v>
      </c>
      <c r="J32">
        <v>30</v>
      </c>
      <c r="K32" t="s">
        <v>151</v>
      </c>
      <c r="L32">
        <v>30</v>
      </c>
      <c r="M32" t="s">
        <v>848</v>
      </c>
      <c r="O32" t="s">
        <v>110</v>
      </c>
      <c r="P32">
        <f>IF(SUMIFS(StandardName[IDinTheRanking],StandardName[StandardizedName],Analiza_wRankingach[[#This Row],[Nazwa uczelni]],StandardName[Ranking],"=THE")&gt;0,1,0)</f>
        <v>1</v>
      </c>
      <c r="Q32">
        <f>IF(SUMIFS(StandardName[IDinTheRanking],StandardName[StandardizedName],Analiza_wRankingach[[#This Row],[Nazwa uczelni]],StandardName[Ranking],"=ARWU")&gt;0,1,0)</f>
        <v>1</v>
      </c>
      <c r="R32">
        <f>IF(SUMIFS(StandardName[IDinTheRanking],StandardName[StandardizedName],Analiza_wRankingach[[#This Row],[Nazwa uczelni]],StandardName[Ranking],"=QS")&gt;0,1,0)</f>
        <v>1</v>
      </c>
      <c r="S32">
        <f>IF(SUMIFS(StandardName[IDinTheRanking],StandardName[StandardizedName],Analiza_wRankingach[[#This Row],[Nazwa uczelni]],StandardName[Ranking],"=Webometrics")&gt;0,1,0)</f>
        <v>1</v>
      </c>
      <c r="T32">
        <f>SUM(Analiza_wRankingach[[#This Row],[THE]:[Webometrics]])</f>
        <v>4</v>
      </c>
      <c r="U32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19</v>
      </c>
      <c r="V32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71</v>
      </c>
      <c r="W32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11</v>
      </c>
      <c r="X32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47</v>
      </c>
      <c r="Y32">
        <f>SUM(Analiza_wRankingach[[#This Row],[THE_RV1000]:[Webometrics_RV1000]])</f>
        <v>148</v>
      </c>
      <c r="Z32">
        <f>SUMIFS(StandardName[RankValueInTheRanking],StandardName[StandardizedName],Analiza_wRankingach[[#This Row],[Nazwa uczelni]],StandardName[Ranking],"=THE")</f>
        <v>19</v>
      </c>
      <c r="AA32">
        <f>SUMIFS(StandardName[RankValueInTheRanking],StandardName[StandardizedName],Analiza_wRankingach[[#This Row],[Nazwa uczelni]],StandardName[Ranking],"=ARWU")</f>
        <v>71</v>
      </c>
      <c r="AB32">
        <f>SUMIFS(StandardName[RankValueInTheRanking],StandardName[StandardizedName],Analiza_wRankingach[[#This Row],[Nazwa uczelni]],StandardName[Ranking],"=QS")</f>
        <v>11</v>
      </c>
      <c r="AC32">
        <f>SUMIFS(StandardName[RankValueInTheRanking],StandardName[StandardizedName],Analiza_wRankingach[[#This Row],[Nazwa uczelni]],StandardName[Ranking],"=Webometrics")</f>
        <v>47</v>
      </c>
      <c r="AD32">
        <f>SUMIFS(StandardName[IDinTheRanking],StandardName[StandardizedName],Analiza_wRankingach[[#This Row],[Nazwa uczelni]],StandardName[Ranking],"=THE")</f>
        <v>19</v>
      </c>
      <c r="AE32">
        <f>SUMIFS(StandardName[IDinTheRanking],StandardName[StandardizedName],Analiza_wRankingach[[#This Row],[Nazwa uczelni]],StandardName[Ranking],"=ARWU")</f>
        <v>71</v>
      </c>
      <c r="AF32">
        <f>SUMIFS(StandardName[IDinTheRanking],StandardName[StandardizedName],Analiza_wRankingach[[#This Row],[Nazwa uczelni]],StandardName[Ranking],"=QS")</f>
        <v>11</v>
      </c>
      <c r="AG32">
        <f>SUMIFS(StandardName[IDinTheRanking],StandardName[StandardizedName],Analiza_wRankingach[[#This Row],[Nazwa uczelni]],StandardName[Ranking],"=Webometrics")</f>
        <v>47</v>
      </c>
      <c r="AH32">
        <f>SUM(Analiza_wRankingach[[#This Row],[THE_ID]:[Webometrics_ID]])</f>
        <v>148</v>
      </c>
      <c r="AI32" t="str">
        <f>IF(Analiza_wRankingach[[#This Row],[LiczbaWystąpień]]&gt;=T33,"OK","UWAGA")</f>
        <v>OK</v>
      </c>
    </row>
    <row r="33" spans="1:35" x14ac:dyDescent="0.45">
      <c r="A33">
        <v>31</v>
      </c>
      <c r="B33" t="str">
        <f>Analiza_wRankingach[[#This Row],[Nazwa uczelni]]</f>
        <v>University of Tokyo</v>
      </c>
      <c r="C33">
        <f>Analiza_wRankingach[[#This Row],[WartośćKontrolna]]</f>
        <v>152</v>
      </c>
      <c r="D33">
        <f>Analiza_wRankingach[[#This Row],[THE_RV]]</f>
        <v>39</v>
      </c>
      <c r="E33">
        <f>Analiza_wRankingach[[#This Row],[ARWU_RV]]</f>
        <v>24</v>
      </c>
      <c r="F33">
        <f>Analiza_wRankingach[[#This Row],[QS_RV]]</f>
        <v>23</v>
      </c>
      <c r="G33">
        <f>Analiza_wRankingach[[#This Row],[Webometrics_RV]]</f>
        <v>66</v>
      </c>
      <c r="I33" t="s">
        <v>145</v>
      </c>
      <c r="J33">
        <v>31</v>
      </c>
      <c r="K33" t="s">
        <v>145</v>
      </c>
      <c r="L33">
        <v>31</v>
      </c>
      <c r="M33" t="s">
        <v>848</v>
      </c>
      <c r="O33" t="s">
        <v>854</v>
      </c>
      <c r="P33">
        <f>IF(SUMIFS(StandardName[IDinTheRanking],StandardName[StandardizedName],Analiza_wRankingach[[#This Row],[Nazwa uczelni]],StandardName[Ranking],"=THE")&gt;0,1,0)</f>
        <v>1</v>
      </c>
      <c r="Q33">
        <f>IF(SUMIFS(StandardName[IDinTheRanking],StandardName[StandardizedName],Analiza_wRankingach[[#This Row],[Nazwa uczelni]],StandardName[Ranking],"=ARWU")&gt;0,1,0)</f>
        <v>1</v>
      </c>
      <c r="R33">
        <f>IF(SUMIFS(StandardName[IDinTheRanking],StandardName[StandardizedName],Analiza_wRankingach[[#This Row],[Nazwa uczelni]],StandardName[Ranking],"=QS")&gt;0,1,0)</f>
        <v>1</v>
      </c>
      <c r="S33">
        <f>IF(SUMIFS(StandardName[IDinTheRanking],StandardName[StandardizedName],Analiza_wRankingach[[#This Row],[Nazwa uczelni]],StandardName[Ranking],"=Webometrics")&gt;0,1,0)</f>
        <v>1</v>
      </c>
      <c r="T33">
        <f>SUM(Analiza_wRankingach[[#This Row],[THE]:[Webometrics]])</f>
        <v>4</v>
      </c>
      <c r="U33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39</v>
      </c>
      <c r="V33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24</v>
      </c>
      <c r="W33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23</v>
      </c>
      <c r="X33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66</v>
      </c>
      <c r="Y33">
        <f>SUM(Analiza_wRankingach[[#This Row],[THE_RV1000]:[Webometrics_RV1000]])</f>
        <v>152</v>
      </c>
      <c r="Z33">
        <f>SUMIFS(StandardName[RankValueInTheRanking],StandardName[StandardizedName],Analiza_wRankingach[[#This Row],[Nazwa uczelni]],StandardName[Ranking],"=THE")</f>
        <v>39</v>
      </c>
      <c r="AA33">
        <f>SUMIFS(StandardName[RankValueInTheRanking],StandardName[StandardizedName],Analiza_wRankingach[[#This Row],[Nazwa uczelni]],StandardName[Ranking],"=ARWU")</f>
        <v>24</v>
      </c>
      <c r="AB33">
        <f>SUMIFS(StandardName[RankValueInTheRanking],StandardName[StandardizedName],Analiza_wRankingach[[#This Row],[Nazwa uczelni]],StandardName[Ranking],"=QS")</f>
        <v>23</v>
      </c>
      <c r="AC33">
        <f>SUMIFS(StandardName[RankValueInTheRanking],StandardName[StandardizedName],Analiza_wRankingach[[#This Row],[Nazwa uczelni]],StandardName[Ranking],"=Webometrics")</f>
        <v>66</v>
      </c>
      <c r="AD33">
        <f>SUMIFS(StandardName[IDinTheRanking],StandardName[StandardizedName],Analiza_wRankingach[[#This Row],[Nazwa uczelni]],StandardName[Ranking],"=THE")</f>
        <v>39</v>
      </c>
      <c r="AE33">
        <f>SUMIFS(StandardName[IDinTheRanking],StandardName[StandardizedName],Analiza_wRankingach[[#This Row],[Nazwa uczelni]],StandardName[Ranking],"=ARWU")</f>
        <v>24</v>
      </c>
      <c r="AF33">
        <f>SUMIFS(StandardName[IDinTheRanking],StandardName[StandardizedName],Analiza_wRankingach[[#This Row],[Nazwa uczelni]],StandardName[Ranking],"=QS")</f>
        <v>23</v>
      </c>
      <c r="AG33">
        <f>SUMIFS(StandardName[IDinTheRanking],StandardName[StandardizedName],Analiza_wRankingach[[#This Row],[Nazwa uczelni]],StandardName[Ranking],"=Webometrics")</f>
        <v>66</v>
      </c>
      <c r="AH33">
        <f>SUM(Analiza_wRankingach[[#This Row],[THE_ID]:[Webometrics_ID]])</f>
        <v>152</v>
      </c>
      <c r="AI33" t="str">
        <f>IF(Analiza_wRankingach[[#This Row],[LiczbaWystąpień]]&gt;=T34,"OK","UWAGA")</f>
        <v>OK</v>
      </c>
    </row>
    <row r="34" spans="1:35" x14ac:dyDescent="0.45">
      <c r="A34">
        <v>32</v>
      </c>
      <c r="B34" t="str">
        <f>Analiza_wRankingach[[#This Row],[Nazwa uczelni]]</f>
        <v>University of British Columbia</v>
      </c>
      <c r="C34">
        <f>Analiza_wRankingach[[#This Row],[WartośćKontrolna]]</f>
        <v>158</v>
      </c>
      <c r="D34">
        <f>Analiza_wRankingach[[#This Row],[THE_RV]]</f>
        <v>40</v>
      </c>
      <c r="E34">
        <f>Analiza_wRankingach[[#This Row],[ARWU_RV]]</f>
        <v>44</v>
      </c>
      <c r="F34">
        <f>Analiza_wRankingach[[#This Row],[QS_RV]]</f>
        <v>47</v>
      </c>
      <c r="G34">
        <f>Analiza_wRankingach[[#This Row],[Webometrics_RV]]</f>
        <v>27</v>
      </c>
      <c r="I34" t="s">
        <v>533</v>
      </c>
      <c r="J34">
        <v>32</v>
      </c>
      <c r="K34" t="s">
        <v>194</v>
      </c>
      <c r="L34">
        <v>32</v>
      </c>
      <c r="M34" t="s">
        <v>848</v>
      </c>
      <c r="O34" t="s">
        <v>225</v>
      </c>
      <c r="P34">
        <f>IF(SUMIFS(StandardName[IDinTheRanking],StandardName[StandardizedName],Analiza_wRankingach[[#This Row],[Nazwa uczelni]],StandardName[Ranking],"=THE")&gt;0,1,0)</f>
        <v>1</v>
      </c>
      <c r="Q34">
        <f>IF(SUMIFS(StandardName[IDinTheRanking],StandardName[StandardizedName],Analiza_wRankingach[[#This Row],[Nazwa uczelni]],StandardName[Ranking],"=ARWU")&gt;0,1,0)</f>
        <v>1</v>
      </c>
      <c r="R34">
        <f>IF(SUMIFS(StandardName[IDinTheRanking],StandardName[StandardizedName],Analiza_wRankingach[[#This Row],[Nazwa uczelni]],StandardName[Ranking],"=QS")&gt;0,1,0)</f>
        <v>1</v>
      </c>
      <c r="S34">
        <f>IF(SUMIFS(StandardName[IDinTheRanking],StandardName[StandardizedName],Analiza_wRankingach[[#This Row],[Nazwa uczelni]],StandardName[Ranking],"=Webometrics")&gt;0,1,0)</f>
        <v>1</v>
      </c>
      <c r="T34">
        <f>SUM(Analiza_wRankingach[[#This Row],[THE]:[Webometrics]])</f>
        <v>4</v>
      </c>
      <c r="U34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40</v>
      </c>
      <c r="V34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44</v>
      </c>
      <c r="W34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47</v>
      </c>
      <c r="X34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27</v>
      </c>
      <c r="Y34">
        <f>SUM(Analiza_wRankingach[[#This Row],[THE_RV1000]:[Webometrics_RV1000]])</f>
        <v>158</v>
      </c>
      <c r="Z34">
        <f>SUMIFS(StandardName[RankValueInTheRanking],StandardName[StandardizedName],Analiza_wRankingach[[#This Row],[Nazwa uczelni]],StandardName[Ranking],"=THE")</f>
        <v>40</v>
      </c>
      <c r="AA34">
        <f>SUMIFS(StandardName[RankValueInTheRanking],StandardName[StandardizedName],Analiza_wRankingach[[#This Row],[Nazwa uczelni]],StandardName[Ranking],"=ARWU")</f>
        <v>44</v>
      </c>
      <c r="AB34">
        <f>SUMIFS(StandardName[RankValueInTheRanking],StandardName[StandardizedName],Analiza_wRankingach[[#This Row],[Nazwa uczelni]],StandardName[Ranking],"=QS")</f>
        <v>47</v>
      </c>
      <c r="AC34">
        <f>SUMIFS(StandardName[RankValueInTheRanking],StandardName[StandardizedName],Analiza_wRankingach[[#This Row],[Nazwa uczelni]],StandardName[Ranking],"=Webometrics")</f>
        <v>27</v>
      </c>
      <c r="AD34">
        <f>SUMIFS(StandardName[IDinTheRanking],StandardName[StandardizedName],Analiza_wRankingach[[#This Row],[Nazwa uczelni]],StandardName[Ranking],"=THE")</f>
        <v>40</v>
      </c>
      <c r="AE34">
        <f>SUMIFS(StandardName[IDinTheRanking],StandardName[StandardizedName],Analiza_wRankingach[[#This Row],[Nazwa uczelni]],StandardName[Ranking],"=ARWU")</f>
        <v>45</v>
      </c>
      <c r="AF34">
        <f>SUMIFS(StandardName[IDinTheRanking],StandardName[StandardizedName],Analiza_wRankingach[[#This Row],[Nazwa uczelni]],StandardName[Ranking],"=QS")</f>
        <v>47</v>
      </c>
      <c r="AG34">
        <f>SUMIFS(StandardName[IDinTheRanking],StandardName[StandardizedName],Analiza_wRankingach[[#This Row],[Nazwa uczelni]],StandardName[Ranking],"=Webometrics")</f>
        <v>27</v>
      </c>
      <c r="AH34">
        <f>SUM(Analiza_wRankingach[[#This Row],[THE_ID]:[Webometrics_ID]])</f>
        <v>159</v>
      </c>
      <c r="AI34" t="str">
        <f>IF(Analiza_wRankingach[[#This Row],[LiczbaWystąpień]]&gt;=T35,"OK","UWAGA")</f>
        <v>OK</v>
      </c>
    </row>
    <row r="35" spans="1:35" x14ac:dyDescent="0.45">
      <c r="A35">
        <v>33</v>
      </c>
      <c r="B35" t="str">
        <f>Analiza_wRankingach[[#This Row],[Nazwa uczelni]]</f>
        <v>University of Manchester</v>
      </c>
      <c r="C35">
        <f>Analiza_wRankingach[[#This Row],[WartośćKontrolna]]</f>
        <v>181</v>
      </c>
      <c r="D35">
        <f>Analiza_wRankingach[[#This Row],[THE_RV]]</f>
        <v>54</v>
      </c>
      <c r="E35">
        <f>Analiza_wRankingach[[#This Row],[ARWU_RV]]</f>
        <v>38</v>
      </c>
      <c r="F35">
        <f>Analiza_wRankingach[[#This Row],[QS_RV]]</f>
        <v>28</v>
      </c>
      <c r="G35">
        <f>Analiza_wRankingach[[#This Row],[Webometrics_RV]]</f>
        <v>61</v>
      </c>
      <c r="I35" t="s">
        <v>535</v>
      </c>
      <c r="J35">
        <v>33</v>
      </c>
      <c r="K35" t="s">
        <v>412</v>
      </c>
      <c r="L35">
        <v>33</v>
      </c>
      <c r="M35" t="s">
        <v>848</v>
      </c>
      <c r="O35" t="s">
        <v>296</v>
      </c>
      <c r="P35">
        <f>IF(SUMIFS(StandardName[IDinTheRanking],StandardName[StandardizedName],Analiza_wRankingach[[#This Row],[Nazwa uczelni]],StandardName[Ranking],"=THE")&gt;0,1,0)</f>
        <v>1</v>
      </c>
      <c r="Q35">
        <f>IF(SUMIFS(StandardName[IDinTheRanking],StandardName[StandardizedName],Analiza_wRankingach[[#This Row],[Nazwa uczelni]],StandardName[Ranking],"=ARWU")&gt;0,1,0)</f>
        <v>1</v>
      </c>
      <c r="R35">
        <f>IF(SUMIFS(StandardName[IDinTheRanking],StandardName[StandardizedName],Analiza_wRankingach[[#This Row],[Nazwa uczelni]],StandardName[Ranking],"=QS")&gt;0,1,0)</f>
        <v>1</v>
      </c>
      <c r="S35">
        <f>IF(SUMIFS(StandardName[IDinTheRanking],StandardName[StandardizedName],Analiza_wRankingach[[#This Row],[Nazwa uczelni]],StandardName[Ranking],"=Webometrics")&gt;0,1,0)</f>
        <v>1</v>
      </c>
      <c r="T35">
        <f>SUM(Analiza_wRankingach[[#This Row],[THE]:[Webometrics]])</f>
        <v>4</v>
      </c>
      <c r="U35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54</v>
      </c>
      <c r="V35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38</v>
      </c>
      <c r="W35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28</v>
      </c>
      <c r="X35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61</v>
      </c>
      <c r="Y35">
        <f>SUM(Analiza_wRankingach[[#This Row],[THE_RV1000]:[Webometrics_RV1000]])</f>
        <v>181</v>
      </c>
      <c r="Z35">
        <f>SUMIFS(StandardName[RankValueInTheRanking],StandardName[StandardizedName],Analiza_wRankingach[[#This Row],[Nazwa uczelni]],StandardName[Ranking],"=THE")</f>
        <v>54</v>
      </c>
      <c r="AA35">
        <f>SUMIFS(StandardName[RankValueInTheRanking],StandardName[StandardizedName],Analiza_wRankingach[[#This Row],[Nazwa uczelni]],StandardName[Ranking],"=ARWU")</f>
        <v>38</v>
      </c>
      <c r="AB35">
        <f>SUMIFS(StandardName[RankValueInTheRanking],StandardName[StandardizedName],Analiza_wRankingach[[#This Row],[Nazwa uczelni]],StandardName[Ranking],"=QS")</f>
        <v>28</v>
      </c>
      <c r="AC35">
        <f>SUMIFS(StandardName[RankValueInTheRanking],StandardName[StandardizedName],Analiza_wRankingach[[#This Row],[Nazwa uczelni]],StandardName[Ranking],"=Webometrics")</f>
        <v>61</v>
      </c>
      <c r="AD35">
        <f>SUMIFS(StandardName[IDinTheRanking],StandardName[StandardizedName],Analiza_wRankingach[[#This Row],[Nazwa uczelni]],StandardName[Ranking],"=THE")</f>
        <v>54</v>
      </c>
      <c r="AE35">
        <f>SUMIFS(StandardName[IDinTheRanking],StandardName[StandardizedName],Analiza_wRankingach[[#This Row],[Nazwa uczelni]],StandardName[Ranking],"=ARWU")</f>
        <v>38</v>
      </c>
      <c r="AF35">
        <f>SUMIFS(StandardName[IDinTheRanking],StandardName[StandardizedName],Analiza_wRankingach[[#This Row],[Nazwa uczelni]],StandardName[Ranking],"=QS")</f>
        <v>28</v>
      </c>
      <c r="AG35">
        <f>SUMIFS(StandardName[IDinTheRanking],StandardName[StandardizedName],Analiza_wRankingach[[#This Row],[Nazwa uczelni]],StandardName[Ranking],"=Webometrics")</f>
        <v>61</v>
      </c>
      <c r="AH35">
        <f>SUM(Analiza_wRankingach[[#This Row],[THE_ID]:[Webometrics_ID]])</f>
        <v>181</v>
      </c>
      <c r="AI35" t="str">
        <f>IF(Analiza_wRankingach[[#This Row],[LiczbaWystąpień]]&gt;=T36,"OK","UWAGA")</f>
        <v>OK</v>
      </c>
    </row>
    <row r="36" spans="1:35" x14ac:dyDescent="0.45">
      <c r="A36">
        <v>34</v>
      </c>
      <c r="B36" t="str">
        <f>Analiza_wRankingach[[#This Row],[Nazwa uczelni]]</f>
        <v>University of Texas at Austin</v>
      </c>
      <c r="C36">
        <f>Analiza_wRankingach[[#This Row],[WartośćKontrolna]]</f>
        <v>184</v>
      </c>
      <c r="D36">
        <f>Analiza_wRankingach[[#This Row],[THE_RV]]</f>
        <v>50</v>
      </c>
      <c r="E36">
        <f>Analiza_wRankingach[[#This Row],[ARWU_RV]]</f>
        <v>37</v>
      </c>
      <c r="F36">
        <f>Analiza_wRankingach[[#This Row],[QS_RV]]</f>
        <v>72</v>
      </c>
      <c r="G36">
        <f>Analiza_wRankingach[[#This Row],[Webometrics_RV]]</f>
        <v>25</v>
      </c>
      <c r="I36" t="s">
        <v>97</v>
      </c>
      <c r="J36">
        <v>34</v>
      </c>
      <c r="K36" t="s">
        <v>97</v>
      </c>
      <c r="L36">
        <v>34</v>
      </c>
      <c r="M36" t="s">
        <v>848</v>
      </c>
      <c r="O36" t="s">
        <v>276</v>
      </c>
      <c r="P36">
        <f>IF(SUMIFS(StandardName[IDinTheRanking],StandardName[StandardizedName],Analiza_wRankingach[[#This Row],[Nazwa uczelni]],StandardName[Ranking],"=THE")&gt;0,1,0)</f>
        <v>1</v>
      </c>
      <c r="Q36">
        <f>IF(SUMIFS(StandardName[IDinTheRanking],StandardName[StandardizedName],Analiza_wRankingach[[#This Row],[Nazwa uczelni]],StandardName[Ranking],"=ARWU")&gt;0,1,0)</f>
        <v>1</v>
      </c>
      <c r="R36">
        <f>IF(SUMIFS(StandardName[IDinTheRanking],StandardName[StandardizedName],Analiza_wRankingach[[#This Row],[Nazwa uczelni]],StandardName[Ranking],"=QS")&gt;0,1,0)</f>
        <v>1</v>
      </c>
      <c r="S36">
        <f>IF(SUMIFS(StandardName[IDinTheRanking],StandardName[StandardizedName],Analiza_wRankingach[[#This Row],[Nazwa uczelni]],StandardName[Ranking],"=Webometrics")&gt;0,1,0)</f>
        <v>1</v>
      </c>
      <c r="T36">
        <f>SUM(Analiza_wRankingach[[#This Row],[THE]:[Webometrics]])</f>
        <v>4</v>
      </c>
      <c r="U36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50</v>
      </c>
      <c r="V36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37</v>
      </c>
      <c r="W36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72</v>
      </c>
      <c r="X36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25</v>
      </c>
      <c r="Y36">
        <f>SUM(Analiza_wRankingach[[#This Row],[THE_RV1000]:[Webometrics_RV1000]])</f>
        <v>184</v>
      </c>
      <c r="Z36">
        <f>SUMIFS(StandardName[RankValueInTheRanking],StandardName[StandardizedName],Analiza_wRankingach[[#This Row],[Nazwa uczelni]],StandardName[Ranking],"=THE")</f>
        <v>50</v>
      </c>
      <c r="AA36">
        <f>SUMIFS(StandardName[RankValueInTheRanking],StandardName[StandardizedName],Analiza_wRankingach[[#This Row],[Nazwa uczelni]],StandardName[Ranking],"=ARWU")</f>
        <v>37</v>
      </c>
      <c r="AB36">
        <f>SUMIFS(StandardName[RankValueInTheRanking],StandardName[StandardizedName],Analiza_wRankingach[[#This Row],[Nazwa uczelni]],StandardName[Ranking],"=QS")</f>
        <v>72</v>
      </c>
      <c r="AC36">
        <f>SUMIFS(StandardName[RankValueInTheRanking],StandardName[StandardizedName],Analiza_wRankingach[[#This Row],[Nazwa uczelni]],StandardName[Ranking],"=Webometrics")</f>
        <v>25</v>
      </c>
      <c r="AD36">
        <f>SUMIFS(StandardName[IDinTheRanking],StandardName[StandardizedName],Analiza_wRankingach[[#This Row],[Nazwa uczelni]],StandardName[Ranking],"=THE")</f>
        <v>50</v>
      </c>
      <c r="AE36">
        <f>SUMIFS(StandardName[IDinTheRanking],StandardName[StandardizedName],Analiza_wRankingach[[#This Row],[Nazwa uczelni]],StandardName[Ranking],"=ARWU")</f>
        <v>37</v>
      </c>
      <c r="AF36">
        <f>SUMIFS(StandardName[IDinTheRanking],StandardName[StandardizedName],Analiza_wRankingach[[#This Row],[Nazwa uczelni]],StandardName[Ranking],"=QS")</f>
        <v>72</v>
      </c>
      <c r="AG36">
        <f>SUMIFS(StandardName[IDinTheRanking],StandardName[StandardizedName],Analiza_wRankingach[[#This Row],[Nazwa uczelni]],StandardName[Ranking],"=Webometrics")</f>
        <v>25</v>
      </c>
      <c r="AH36">
        <f>SUM(Analiza_wRankingach[[#This Row],[THE_ID]:[Webometrics_ID]])</f>
        <v>184</v>
      </c>
      <c r="AI36" t="str">
        <f>IF(Analiza_wRankingach[[#This Row],[LiczbaWystąpień]]&gt;=T37,"OK","UWAGA")</f>
        <v>OK</v>
      </c>
    </row>
    <row r="37" spans="1:35" x14ac:dyDescent="0.45">
      <c r="A37">
        <v>35</v>
      </c>
      <c r="B37" t="str">
        <f>Analiza_wRankingach[[#This Row],[Nazwa uczelni]]</f>
        <v>King’s College London</v>
      </c>
      <c r="C37">
        <f>Analiza_wRankingach[[#This Row],[WartośćKontrolna]]</f>
        <v>187</v>
      </c>
      <c r="D37">
        <f>Analiza_wRankingach[[#This Row],[THE_RV]]</f>
        <v>35</v>
      </c>
      <c r="E37">
        <f>Analiza_wRankingach[[#This Row],[ARWU_RV]]</f>
        <v>48</v>
      </c>
      <c r="F37">
        <f>Analiza_wRankingach[[#This Row],[QS_RV]]</f>
        <v>37</v>
      </c>
      <c r="G37">
        <f>Analiza_wRankingach[[#This Row],[Webometrics_RV]]</f>
        <v>67</v>
      </c>
      <c r="I37" t="s">
        <v>537</v>
      </c>
      <c r="J37">
        <v>35</v>
      </c>
      <c r="K37" t="s">
        <v>169</v>
      </c>
      <c r="L37">
        <v>35</v>
      </c>
      <c r="M37" t="s">
        <v>848</v>
      </c>
      <c r="O37" t="s">
        <v>199</v>
      </c>
      <c r="P37">
        <f>IF(SUMIFS(StandardName[IDinTheRanking],StandardName[StandardizedName],Analiza_wRankingach[[#This Row],[Nazwa uczelni]],StandardName[Ranking],"=THE")&gt;0,1,0)</f>
        <v>1</v>
      </c>
      <c r="Q37">
        <f>IF(SUMIFS(StandardName[IDinTheRanking],StandardName[StandardizedName],Analiza_wRankingach[[#This Row],[Nazwa uczelni]],StandardName[Ranking],"=ARWU")&gt;0,1,0)</f>
        <v>1</v>
      </c>
      <c r="R37">
        <f>IF(SUMIFS(StandardName[IDinTheRanking],StandardName[StandardizedName],Analiza_wRankingach[[#This Row],[Nazwa uczelni]],StandardName[Ranking],"=QS")&gt;0,1,0)</f>
        <v>1</v>
      </c>
      <c r="S37">
        <f>IF(SUMIFS(StandardName[IDinTheRanking],StandardName[StandardizedName],Analiza_wRankingach[[#This Row],[Nazwa uczelni]],StandardName[Ranking],"=Webometrics")&gt;0,1,0)</f>
        <v>1</v>
      </c>
      <c r="T37">
        <f>SUM(Analiza_wRankingach[[#This Row],[THE]:[Webometrics]])</f>
        <v>4</v>
      </c>
      <c r="U37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35</v>
      </c>
      <c r="V37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48</v>
      </c>
      <c r="W37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37</v>
      </c>
      <c r="X37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67</v>
      </c>
      <c r="Y37">
        <f>SUM(Analiza_wRankingach[[#This Row],[THE_RV1000]:[Webometrics_RV1000]])</f>
        <v>187</v>
      </c>
      <c r="Z37">
        <f>SUMIFS(StandardName[RankValueInTheRanking],StandardName[StandardizedName],Analiza_wRankingach[[#This Row],[Nazwa uczelni]],StandardName[Ranking],"=THE")</f>
        <v>35</v>
      </c>
      <c r="AA37">
        <f>SUMIFS(StandardName[RankValueInTheRanking],StandardName[StandardizedName],Analiza_wRankingach[[#This Row],[Nazwa uczelni]],StandardName[Ranking],"=ARWU")</f>
        <v>48</v>
      </c>
      <c r="AB37">
        <f>SUMIFS(StandardName[RankValueInTheRanking],StandardName[StandardizedName],Analiza_wRankingach[[#This Row],[Nazwa uczelni]],StandardName[Ranking],"=QS")</f>
        <v>37</v>
      </c>
      <c r="AC37">
        <f>SUMIFS(StandardName[RankValueInTheRanking],StandardName[StandardizedName],Analiza_wRankingach[[#This Row],[Nazwa uczelni]],StandardName[Ranking],"=Webometrics")</f>
        <v>67</v>
      </c>
      <c r="AD37">
        <f>SUMIFS(StandardName[IDinTheRanking],StandardName[StandardizedName],Analiza_wRankingach[[#This Row],[Nazwa uczelni]],StandardName[Ranking],"=THE")</f>
        <v>35</v>
      </c>
      <c r="AE37">
        <f>SUMIFS(StandardName[IDinTheRanking],StandardName[StandardizedName],Analiza_wRankingach[[#This Row],[Nazwa uczelni]],StandardName[Ranking],"=ARWU")</f>
        <v>48</v>
      </c>
      <c r="AF37">
        <f>SUMIFS(StandardName[IDinTheRanking],StandardName[StandardizedName],Analiza_wRankingach[[#This Row],[Nazwa uczelni]],StandardName[Ranking],"=QS")</f>
        <v>37</v>
      </c>
      <c r="AG37">
        <f>SUMIFS(StandardName[IDinTheRanking],StandardName[StandardizedName],Analiza_wRankingach[[#This Row],[Nazwa uczelni]],StandardName[Ranking],"=Webometrics")</f>
        <v>67</v>
      </c>
      <c r="AH37">
        <f>SUM(Analiza_wRankingach[[#This Row],[THE_ID]:[Webometrics_ID]])</f>
        <v>187</v>
      </c>
      <c r="AI37" t="str">
        <f>IF(Analiza_wRankingach[[#This Row],[LiczbaWystąpień]]&gt;=T38,"OK","UWAGA")</f>
        <v>OK</v>
      </c>
    </row>
    <row r="38" spans="1:35" x14ac:dyDescent="0.45">
      <c r="A38">
        <v>36</v>
      </c>
      <c r="B38" t="str">
        <f>Analiza_wRankingach[[#This Row],[Nazwa uczelni]]</f>
        <v>University of Queensland</v>
      </c>
      <c r="C38">
        <f>Analiza_wRankingach[[#This Row],[WartośćKontrolna]]</f>
        <v>202</v>
      </c>
      <c r="D38">
        <f>Analiza_wRankingach[[#This Row],[THE_RV]]</f>
        <v>53</v>
      </c>
      <c r="E38">
        <f>Analiza_wRankingach[[#This Row],[ARWU_RV]]</f>
        <v>47</v>
      </c>
      <c r="F38">
        <f>Analiza_wRankingach[[#This Row],[QS_RV]]</f>
        <v>50</v>
      </c>
      <c r="G38">
        <f>Analiza_wRankingach[[#This Row],[Webometrics_RV]]</f>
        <v>52</v>
      </c>
      <c r="I38" t="s">
        <v>355</v>
      </c>
      <c r="J38">
        <v>36</v>
      </c>
      <c r="K38" t="s">
        <v>355</v>
      </c>
      <c r="L38">
        <v>36</v>
      </c>
      <c r="M38" t="s">
        <v>848</v>
      </c>
      <c r="O38" t="s">
        <v>816</v>
      </c>
      <c r="P38">
        <f>IF(SUMIFS(StandardName[IDinTheRanking],StandardName[StandardizedName],Analiza_wRankingach[[#This Row],[Nazwa uczelni]],StandardName[Ranking],"=THE")&gt;0,1,0)</f>
        <v>1</v>
      </c>
      <c r="Q38">
        <f>IF(SUMIFS(StandardName[IDinTheRanking],StandardName[StandardizedName],Analiza_wRankingach[[#This Row],[Nazwa uczelni]],StandardName[Ranking],"=ARWU")&gt;0,1,0)</f>
        <v>1</v>
      </c>
      <c r="R38">
        <f>IF(SUMIFS(StandardName[IDinTheRanking],StandardName[StandardizedName],Analiza_wRankingach[[#This Row],[Nazwa uczelni]],StandardName[Ranking],"=QS")&gt;0,1,0)</f>
        <v>1</v>
      </c>
      <c r="S38">
        <f>IF(SUMIFS(StandardName[IDinTheRanking],StandardName[StandardizedName],Analiza_wRankingach[[#This Row],[Nazwa uczelni]],StandardName[Ranking],"=Webometrics")&gt;0,1,0)</f>
        <v>1</v>
      </c>
      <c r="T38">
        <f>SUM(Analiza_wRankingach[[#This Row],[THE]:[Webometrics]])</f>
        <v>4</v>
      </c>
      <c r="U38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53</v>
      </c>
      <c r="V38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47</v>
      </c>
      <c r="W38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50</v>
      </c>
      <c r="X38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52</v>
      </c>
      <c r="Y38">
        <f>SUM(Analiza_wRankingach[[#This Row],[THE_RV1000]:[Webometrics_RV1000]])</f>
        <v>202</v>
      </c>
      <c r="Z38">
        <f>SUMIFS(StandardName[RankValueInTheRanking],StandardName[StandardizedName],Analiza_wRankingach[[#This Row],[Nazwa uczelni]],StandardName[Ranking],"=THE")</f>
        <v>53</v>
      </c>
      <c r="AA38">
        <f>SUMIFS(StandardName[RankValueInTheRanking],StandardName[StandardizedName],Analiza_wRankingach[[#This Row],[Nazwa uczelni]],StandardName[Ranking],"=ARWU")</f>
        <v>47</v>
      </c>
      <c r="AB38">
        <f>SUMIFS(StandardName[RankValueInTheRanking],StandardName[StandardizedName],Analiza_wRankingach[[#This Row],[Nazwa uczelni]],StandardName[Ranking],"=QS")</f>
        <v>50</v>
      </c>
      <c r="AC38">
        <f>SUMIFS(StandardName[RankValueInTheRanking],StandardName[StandardizedName],Analiza_wRankingach[[#This Row],[Nazwa uczelni]],StandardName[Ranking],"=Webometrics")</f>
        <v>52</v>
      </c>
      <c r="AD38">
        <f>SUMIFS(StandardName[IDinTheRanking],StandardName[StandardizedName],Analiza_wRankingach[[#This Row],[Nazwa uczelni]],StandardName[Ranking],"=THE")</f>
        <v>53</v>
      </c>
      <c r="AE38">
        <f>SUMIFS(StandardName[IDinTheRanking],StandardName[StandardizedName],Analiza_wRankingach[[#This Row],[Nazwa uczelni]],StandardName[Ranking],"=ARWU")</f>
        <v>47</v>
      </c>
      <c r="AF38">
        <f>SUMIFS(StandardName[IDinTheRanking],StandardName[StandardizedName],Analiza_wRankingach[[#This Row],[Nazwa uczelni]],StandardName[Ranking],"=QS")</f>
        <v>51</v>
      </c>
      <c r="AG38">
        <f>SUMIFS(StandardName[IDinTheRanking],StandardName[StandardizedName],Analiza_wRankingach[[#This Row],[Nazwa uczelni]],StandardName[Ranking],"=Webometrics")</f>
        <v>52</v>
      </c>
      <c r="AH38">
        <f>SUM(Analiza_wRankingach[[#This Row],[THE_ID]:[Webometrics_ID]])</f>
        <v>203</v>
      </c>
      <c r="AI38" t="str">
        <f>IF(Analiza_wRankingach[[#This Row],[LiczbaWystąpień]]&gt;=T39,"OK","UWAGA")</f>
        <v>OK</v>
      </c>
    </row>
    <row r="39" spans="1:35" x14ac:dyDescent="0.45">
      <c r="A39">
        <v>37</v>
      </c>
      <c r="B39" t="str">
        <f>Analiza_wRankingach[[#This Row],[Nazwa uczelni]]</f>
        <v>University of Sydney</v>
      </c>
      <c r="C39">
        <f>Analiza_wRankingach[[#This Row],[WartośćKontrolna]]</f>
        <v>205</v>
      </c>
      <c r="D39">
        <f>Analiza_wRankingach[[#This Row],[THE_RV]]</f>
        <v>54</v>
      </c>
      <c r="E39">
        <f>Analiza_wRankingach[[#This Row],[ARWU_RV]]</f>
        <v>60</v>
      </c>
      <c r="F39">
        <f>Analiza_wRankingach[[#This Row],[QS_RV]]</f>
        <v>41</v>
      </c>
      <c r="G39">
        <f>Analiza_wRankingach[[#This Row],[Webometrics_RV]]</f>
        <v>50</v>
      </c>
      <c r="I39" t="s">
        <v>541</v>
      </c>
      <c r="J39">
        <v>37</v>
      </c>
      <c r="K39" t="s">
        <v>276</v>
      </c>
      <c r="L39">
        <v>37</v>
      </c>
      <c r="M39" t="s">
        <v>848</v>
      </c>
      <c r="O39" t="s">
        <v>572</v>
      </c>
      <c r="P39">
        <f>IF(SUMIFS(StandardName[IDinTheRanking],StandardName[StandardizedName],Analiza_wRankingach[[#This Row],[Nazwa uczelni]],StandardName[Ranking],"=THE")&gt;0,1,0)</f>
        <v>1</v>
      </c>
      <c r="Q39">
        <f>IF(SUMIFS(StandardName[IDinTheRanking],StandardName[StandardizedName],Analiza_wRankingach[[#This Row],[Nazwa uczelni]],StandardName[Ranking],"=ARWU")&gt;0,1,0)</f>
        <v>1</v>
      </c>
      <c r="R39">
        <f>IF(SUMIFS(StandardName[IDinTheRanking],StandardName[StandardizedName],Analiza_wRankingach[[#This Row],[Nazwa uczelni]],StandardName[Ranking],"=QS")&gt;0,1,0)</f>
        <v>1</v>
      </c>
      <c r="S39">
        <f>IF(SUMIFS(StandardName[IDinTheRanking],StandardName[StandardizedName],Analiza_wRankingach[[#This Row],[Nazwa uczelni]],StandardName[Ranking],"=Webometrics")&gt;0,1,0)</f>
        <v>1</v>
      </c>
      <c r="T39">
        <f>SUM(Analiza_wRankingach[[#This Row],[THE]:[Webometrics]])</f>
        <v>4</v>
      </c>
      <c r="U39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54</v>
      </c>
      <c r="V39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60</v>
      </c>
      <c r="W39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41</v>
      </c>
      <c r="X39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50</v>
      </c>
      <c r="Y39">
        <f>SUM(Analiza_wRankingach[[#This Row],[THE_RV1000]:[Webometrics_RV1000]])</f>
        <v>205</v>
      </c>
      <c r="Z39">
        <f>SUMIFS(StandardName[RankValueInTheRanking],StandardName[StandardizedName],Analiza_wRankingach[[#This Row],[Nazwa uczelni]],StandardName[Ranking],"=THE")</f>
        <v>54</v>
      </c>
      <c r="AA39">
        <f>SUMIFS(StandardName[RankValueInTheRanking],StandardName[StandardizedName],Analiza_wRankingach[[#This Row],[Nazwa uczelni]],StandardName[Ranking],"=ARWU")</f>
        <v>60</v>
      </c>
      <c r="AB39">
        <f>SUMIFS(StandardName[RankValueInTheRanking],StandardName[StandardizedName],Analiza_wRankingach[[#This Row],[Nazwa uczelni]],StandardName[Ranking],"=QS")</f>
        <v>41</v>
      </c>
      <c r="AC39">
        <f>SUMIFS(StandardName[RankValueInTheRanking],StandardName[StandardizedName],Analiza_wRankingach[[#This Row],[Nazwa uczelni]],StandardName[Ranking],"=Webometrics")</f>
        <v>50</v>
      </c>
      <c r="AD39">
        <f>SUMIFS(StandardName[IDinTheRanking],StandardName[StandardizedName],Analiza_wRankingach[[#This Row],[Nazwa uczelni]],StandardName[Ranking],"=THE")</f>
        <v>55</v>
      </c>
      <c r="AE39">
        <f>SUMIFS(StandardName[IDinTheRanking],StandardName[StandardizedName],Analiza_wRankingach[[#This Row],[Nazwa uczelni]],StandardName[Ranking],"=ARWU")</f>
        <v>60</v>
      </c>
      <c r="AF39">
        <f>SUMIFS(StandardName[IDinTheRanking],StandardName[StandardizedName],Analiza_wRankingach[[#This Row],[Nazwa uczelni]],StandardName[Ranking],"=QS")</f>
        <v>41</v>
      </c>
      <c r="AG39">
        <f>SUMIFS(StandardName[IDinTheRanking],StandardName[StandardizedName],Analiza_wRankingach[[#This Row],[Nazwa uczelni]],StandardName[Ranking],"=Webometrics")</f>
        <v>50</v>
      </c>
      <c r="AH39">
        <f>SUM(Analiza_wRankingach[[#This Row],[THE_ID]:[Webometrics_ID]])</f>
        <v>206</v>
      </c>
      <c r="AI39" t="str">
        <f>IF(Analiza_wRankingach[[#This Row],[LiczbaWystąpień]]&gt;=T40,"OK","UWAGA")</f>
        <v>OK</v>
      </c>
    </row>
    <row r="40" spans="1:35" x14ac:dyDescent="0.45">
      <c r="A40">
        <v>38</v>
      </c>
      <c r="B40" t="str">
        <f>Analiza_wRankingach[[#This Row],[Nazwa uczelni]]</f>
        <v>McGill University</v>
      </c>
      <c r="C40">
        <f>Analiza_wRankingach[[#This Row],[WartośćKontrolna]]</f>
        <v>210</v>
      </c>
      <c r="D40">
        <f>Analiza_wRankingach[[#This Row],[THE_RV]]</f>
        <v>46</v>
      </c>
      <c r="E40">
        <f>Analiza_wRankingach[[#This Row],[ARWU_RV]]</f>
        <v>73</v>
      </c>
      <c r="F40">
        <f>Analiza_wRankingach[[#This Row],[QS_RV]]</f>
        <v>31</v>
      </c>
      <c r="G40">
        <f>Analiza_wRankingach[[#This Row],[Webometrics_RV]]</f>
        <v>60</v>
      </c>
      <c r="I40" t="s">
        <v>543</v>
      </c>
      <c r="J40">
        <v>38</v>
      </c>
      <c r="K40" t="s">
        <v>296</v>
      </c>
      <c r="L40">
        <v>38</v>
      </c>
      <c r="M40" t="s">
        <v>848</v>
      </c>
      <c r="O40" t="s">
        <v>253</v>
      </c>
      <c r="P40">
        <f>IF(SUMIFS(StandardName[IDinTheRanking],StandardName[StandardizedName],Analiza_wRankingach[[#This Row],[Nazwa uczelni]],StandardName[Ranking],"=THE")&gt;0,1,0)</f>
        <v>1</v>
      </c>
      <c r="Q40">
        <f>IF(SUMIFS(StandardName[IDinTheRanking],StandardName[StandardizedName],Analiza_wRankingach[[#This Row],[Nazwa uczelni]],StandardName[Ranking],"=ARWU")&gt;0,1,0)</f>
        <v>1</v>
      </c>
      <c r="R40">
        <f>IF(SUMIFS(StandardName[IDinTheRanking],StandardName[StandardizedName],Analiza_wRankingach[[#This Row],[Nazwa uczelni]],StandardName[Ranking],"=QS")&gt;0,1,0)</f>
        <v>1</v>
      </c>
      <c r="S40">
        <f>IF(SUMIFS(StandardName[IDinTheRanking],StandardName[StandardizedName],Analiza_wRankingach[[#This Row],[Nazwa uczelni]],StandardName[Ranking],"=Webometrics")&gt;0,1,0)</f>
        <v>1</v>
      </c>
      <c r="T40">
        <f>SUM(Analiza_wRankingach[[#This Row],[THE]:[Webometrics]])</f>
        <v>4</v>
      </c>
      <c r="U40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46</v>
      </c>
      <c r="V40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73</v>
      </c>
      <c r="W40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31</v>
      </c>
      <c r="X40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60</v>
      </c>
      <c r="Y40">
        <f>SUM(Analiza_wRankingach[[#This Row],[THE_RV1000]:[Webometrics_RV1000]])</f>
        <v>210</v>
      </c>
      <c r="Z40">
        <f>SUMIFS(StandardName[RankValueInTheRanking],StandardName[StandardizedName],Analiza_wRankingach[[#This Row],[Nazwa uczelni]],StandardName[Ranking],"=THE")</f>
        <v>46</v>
      </c>
      <c r="AA40">
        <f>SUMIFS(StandardName[RankValueInTheRanking],StandardName[StandardizedName],Analiza_wRankingach[[#This Row],[Nazwa uczelni]],StandardName[Ranking],"=ARWU")</f>
        <v>73</v>
      </c>
      <c r="AB40">
        <f>SUMIFS(StandardName[RankValueInTheRanking],StandardName[StandardizedName],Analiza_wRankingach[[#This Row],[Nazwa uczelni]],StandardName[Ranking],"=QS")</f>
        <v>31</v>
      </c>
      <c r="AC40">
        <f>SUMIFS(StandardName[RankValueInTheRanking],StandardName[StandardizedName],Analiza_wRankingach[[#This Row],[Nazwa uczelni]],StandardName[Ranking],"=Webometrics")</f>
        <v>60</v>
      </c>
      <c r="AD40">
        <f>SUMIFS(StandardName[IDinTheRanking],StandardName[StandardizedName],Analiza_wRankingach[[#This Row],[Nazwa uczelni]],StandardName[Ranking],"=THE")</f>
        <v>46</v>
      </c>
      <c r="AE40">
        <f>SUMIFS(StandardName[IDinTheRanking],StandardName[StandardizedName],Analiza_wRankingach[[#This Row],[Nazwa uczelni]],StandardName[Ranking],"=ARWU")</f>
        <v>73</v>
      </c>
      <c r="AF40">
        <f>SUMIFS(StandardName[IDinTheRanking],StandardName[StandardizedName],Analiza_wRankingach[[#This Row],[Nazwa uczelni]],StandardName[Ranking],"=QS")</f>
        <v>31</v>
      </c>
      <c r="AG40">
        <f>SUMIFS(StandardName[IDinTheRanking],StandardName[StandardizedName],Analiza_wRankingach[[#This Row],[Nazwa uczelni]],StandardName[Ranking],"=Webometrics")</f>
        <v>60</v>
      </c>
      <c r="AH40">
        <f>SUM(Analiza_wRankingach[[#This Row],[THE_ID]:[Webometrics_ID]])</f>
        <v>210</v>
      </c>
      <c r="AI40" t="str">
        <f>IF(Analiza_wRankingach[[#This Row],[LiczbaWystąpień]]&gt;=T41,"OK","UWAGA")</f>
        <v>OK</v>
      </c>
    </row>
    <row r="41" spans="1:35" x14ac:dyDescent="0.45">
      <c r="A41">
        <v>39</v>
      </c>
      <c r="B41" t="str">
        <f>Analiza_wRankingach[[#This Row],[Nazwa uczelni]]</f>
        <v>Zhejiang University</v>
      </c>
      <c r="C41">
        <f>Analiza_wRankingach[[#This Row],[WartośćKontrolna]]</f>
        <v>213</v>
      </c>
      <c r="D41">
        <f>Analiza_wRankingach[[#This Row],[THE_RV]]</f>
        <v>67</v>
      </c>
      <c r="E41">
        <f>Analiza_wRankingach[[#This Row],[ARWU_RV]]</f>
        <v>36</v>
      </c>
      <c r="F41">
        <f>Analiza_wRankingach[[#This Row],[QS_RV]]</f>
        <v>42</v>
      </c>
      <c r="G41">
        <f>Analiza_wRankingach[[#This Row],[Webometrics_RV]]</f>
        <v>68</v>
      </c>
      <c r="I41" t="s">
        <v>545</v>
      </c>
      <c r="J41">
        <v>39</v>
      </c>
      <c r="K41" t="s">
        <v>545</v>
      </c>
      <c r="L41">
        <v>39</v>
      </c>
      <c r="M41" t="s">
        <v>848</v>
      </c>
      <c r="O41" t="s">
        <v>355</v>
      </c>
      <c r="P41">
        <f>IF(SUMIFS(StandardName[IDinTheRanking],StandardName[StandardizedName],Analiza_wRankingach[[#This Row],[Nazwa uczelni]],StandardName[Ranking],"=THE")&gt;0,1,0)</f>
        <v>1</v>
      </c>
      <c r="Q41">
        <f>IF(SUMIFS(StandardName[IDinTheRanking],StandardName[StandardizedName],Analiza_wRankingach[[#This Row],[Nazwa uczelni]],StandardName[Ranking],"=ARWU")&gt;0,1,0)</f>
        <v>1</v>
      </c>
      <c r="R41">
        <f>IF(SUMIFS(StandardName[IDinTheRanking],StandardName[StandardizedName],Analiza_wRankingach[[#This Row],[Nazwa uczelni]],StandardName[Ranking],"=QS")&gt;0,1,0)</f>
        <v>1</v>
      </c>
      <c r="S41">
        <f>IF(SUMIFS(StandardName[IDinTheRanking],StandardName[StandardizedName],Analiza_wRankingach[[#This Row],[Nazwa uczelni]],StandardName[Ranking],"=Webometrics")&gt;0,1,0)</f>
        <v>1</v>
      </c>
      <c r="T41">
        <f>SUM(Analiza_wRankingach[[#This Row],[THE]:[Webometrics]])</f>
        <v>4</v>
      </c>
      <c r="U41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67</v>
      </c>
      <c r="V41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36</v>
      </c>
      <c r="W41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42</v>
      </c>
      <c r="X41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68</v>
      </c>
      <c r="Y41">
        <f>SUM(Analiza_wRankingach[[#This Row],[THE_RV1000]:[Webometrics_RV1000]])</f>
        <v>213</v>
      </c>
      <c r="Z41">
        <f>SUMIFS(StandardName[RankValueInTheRanking],StandardName[StandardizedName],Analiza_wRankingach[[#This Row],[Nazwa uczelni]],StandardName[Ranking],"=THE")</f>
        <v>67</v>
      </c>
      <c r="AA41">
        <f>SUMIFS(StandardName[RankValueInTheRanking],StandardName[StandardizedName],Analiza_wRankingach[[#This Row],[Nazwa uczelni]],StandardName[Ranking],"=ARWU")</f>
        <v>36</v>
      </c>
      <c r="AB41">
        <f>SUMIFS(StandardName[RankValueInTheRanking],StandardName[StandardizedName],Analiza_wRankingach[[#This Row],[Nazwa uczelni]],StandardName[Ranking],"=QS")</f>
        <v>42</v>
      </c>
      <c r="AC41">
        <f>SUMIFS(StandardName[RankValueInTheRanking],StandardName[StandardizedName],Analiza_wRankingach[[#This Row],[Nazwa uczelni]],StandardName[Ranking],"=Webometrics")</f>
        <v>68</v>
      </c>
      <c r="AD41">
        <f>SUMIFS(StandardName[IDinTheRanking],StandardName[StandardizedName],Analiza_wRankingach[[#This Row],[Nazwa uczelni]],StandardName[Ranking],"=THE")</f>
        <v>67</v>
      </c>
      <c r="AE41">
        <f>SUMIFS(StandardName[IDinTheRanking],StandardName[StandardizedName],Analiza_wRankingach[[#This Row],[Nazwa uczelni]],StandardName[Ranking],"=ARWU")</f>
        <v>36</v>
      </c>
      <c r="AF41">
        <f>SUMIFS(StandardName[IDinTheRanking],StandardName[StandardizedName],Analiza_wRankingach[[#This Row],[Nazwa uczelni]],StandardName[Ranking],"=QS")</f>
        <v>43</v>
      </c>
      <c r="AG41">
        <f>SUMIFS(StandardName[IDinTheRanking],StandardName[StandardizedName],Analiza_wRankingach[[#This Row],[Nazwa uczelni]],StandardName[Ranking],"=Webometrics")</f>
        <v>68</v>
      </c>
      <c r="AH41">
        <f>SUM(Analiza_wRankingach[[#This Row],[THE_ID]:[Webometrics_ID]])</f>
        <v>214</v>
      </c>
      <c r="AI41" t="str">
        <f>IF(Analiza_wRankingach[[#This Row],[LiczbaWystąpień]]&gt;=T42,"OK","UWAGA")</f>
        <v>OK</v>
      </c>
    </row>
    <row r="42" spans="1:35" x14ac:dyDescent="0.45">
      <c r="A42">
        <v>40</v>
      </c>
      <c r="B42" t="str">
        <f>Analiza_wRankingach[[#This Row],[Nazwa uczelni]]</f>
        <v>University of Illinois at Urbana-Champaign</v>
      </c>
      <c r="C42">
        <f>Analiza_wRankingach[[#This Row],[WartośćKontrolna]]</f>
        <v>215</v>
      </c>
      <c r="D42">
        <f>Analiza_wRankingach[[#This Row],[THE_RV]]</f>
        <v>48</v>
      </c>
      <c r="E42">
        <f>Analiza_wRankingach[[#This Row],[ARWU_RV]]</f>
        <v>49</v>
      </c>
      <c r="F42">
        <f>Analiza_wRankingach[[#This Row],[QS_RV]]</f>
        <v>85</v>
      </c>
      <c r="G42">
        <f>Analiza_wRankingach[[#This Row],[Webometrics_RV]]</f>
        <v>33</v>
      </c>
      <c r="I42" t="s">
        <v>547</v>
      </c>
      <c r="J42">
        <v>40</v>
      </c>
      <c r="K42" t="s">
        <v>663</v>
      </c>
      <c r="L42">
        <v>40</v>
      </c>
      <c r="M42" t="s">
        <v>848</v>
      </c>
      <c r="O42" t="s">
        <v>266</v>
      </c>
      <c r="P42">
        <f>IF(SUMIFS(StandardName[IDinTheRanking],StandardName[StandardizedName],Analiza_wRankingach[[#This Row],[Nazwa uczelni]],StandardName[Ranking],"=THE")&gt;0,1,0)</f>
        <v>1</v>
      </c>
      <c r="Q42">
        <f>IF(SUMIFS(StandardName[IDinTheRanking],StandardName[StandardizedName],Analiza_wRankingach[[#This Row],[Nazwa uczelni]],StandardName[Ranking],"=ARWU")&gt;0,1,0)</f>
        <v>1</v>
      </c>
      <c r="R42">
        <f>IF(SUMIFS(StandardName[IDinTheRanking],StandardName[StandardizedName],Analiza_wRankingach[[#This Row],[Nazwa uczelni]],StandardName[Ranking],"=QS")&gt;0,1,0)</f>
        <v>1</v>
      </c>
      <c r="S42">
        <f>IF(SUMIFS(StandardName[IDinTheRanking],StandardName[StandardizedName],Analiza_wRankingach[[#This Row],[Nazwa uczelni]],StandardName[Ranking],"=Webometrics")&gt;0,1,0)</f>
        <v>1</v>
      </c>
      <c r="T42">
        <f>SUM(Analiza_wRankingach[[#This Row],[THE]:[Webometrics]])</f>
        <v>4</v>
      </c>
      <c r="U42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48</v>
      </c>
      <c r="V42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49</v>
      </c>
      <c r="W42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85</v>
      </c>
      <c r="X42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33</v>
      </c>
      <c r="Y42">
        <f>SUM(Analiza_wRankingach[[#This Row],[THE_RV1000]:[Webometrics_RV1000]])</f>
        <v>215</v>
      </c>
      <c r="Z42">
        <f>SUMIFS(StandardName[RankValueInTheRanking],StandardName[StandardizedName],Analiza_wRankingach[[#This Row],[Nazwa uczelni]],StandardName[Ranking],"=THE")</f>
        <v>48</v>
      </c>
      <c r="AA42">
        <f>SUMIFS(StandardName[RankValueInTheRanking],StandardName[StandardizedName],Analiza_wRankingach[[#This Row],[Nazwa uczelni]],StandardName[Ranking],"=ARWU")</f>
        <v>49</v>
      </c>
      <c r="AB42">
        <f>SUMIFS(StandardName[RankValueInTheRanking],StandardName[StandardizedName],Analiza_wRankingach[[#This Row],[Nazwa uczelni]],StandardName[Ranking],"=QS")</f>
        <v>85</v>
      </c>
      <c r="AC42">
        <f>SUMIFS(StandardName[RankValueInTheRanking],StandardName[StandardizedName],Analiza_wRankingach[[#This Row],[Nazwa uczelni]],StandardName[Ranking],"=Webometrics")</f>
        <v>33</v>
      </c>
      <c r="AD42">
        <f>SUMIFS(StandardName[IDinTheRanking],StandardName[StandardizedName],Analiza_wRankingach[[#This Row],[Nazwa uczelni]],StandardName[Ranking],"=THE")</f>
        <v>48</v>
      </c>
      <c r="AE42">
        <f>SUMIFS(StandardName[IDinTheRanking],StandardName[StandardizedName],Analiza_wRankingach[[#This Row],[Nazwa uczelni]],StandardName[Ranking],"=ARWU")</f>
        <v>49</v>
      </c>
      <c r="AF42">
        <f>SUMIFS(StandardName[IDinTheRanking],StandardName[StandardizedName],Analiza_wRankingach[[#This Row],[Nazwa uczelni]],StandardName[Ranking],"=QS")</f>
        <v>85</v>
      </c>
      <c r="AG42">
        <f>SUMIFS(StandardName[IDinTheRanking],StandardName[StandardizedName],Analiza_wRankingach[[#This Row],[Nazwa uczelni]],StandardName[Ranking],"=Webometrics")</f>
        <v>33</v>
      </c>
      <c r="AH42">
        <f>SUM(Analiza_wRankingach[[#This Row],[THE_ID]:[Webometrics_ID]])</f>
        <v>215</v>
      </c>
      <c r="AI42" t="str">
        <f>IF(Analiza_wRankingach[[#This Row],[LiczbaWystąpień]]&gt;=T43,"OK","UWAGA")</f>
        <v>OK</v>
      </c>
    </row>
    <row r="43" spans="1:35" x14ac:dyDescent="0.45">
      <c r="A43">
        <v>41</v>
      </c>
      <c r="B43" t="str">
        <f>Analiza_wRankingach[[#This Row],[Nazwa uczelni]]</f>
        <v>University of Wisconsin-Madison</v>
      </c>
      <c r="C43">
        <f>Analiza_wRankingach[[#This Row],[WartośćKontrolna]]</f>
        <v>217</v>
      </c>
      <c r="D43">
        <f>Analiza_wRankingach[[#This Row],[THE_RV]]</f>
        <v>81</v>
      </c>
      <c r="E43">
        <f>Analiza_wRankingach[[#This Row],[ARWU_RV]]</f>
        <v>33</v>
      </c>
      <c r="F43">
        <f>Analiza_wRankingach[[#This Row],[QS_RV]]</f>
        <v>83</v>
      </c>
      <c r="G43">
        <f>Analiza_wRankingach[[#This Row],[Webometrics_RV]]</f>
        <v>20</v>
      </c>
      <c r="I43" t="s">
        <v>270</v>
      </c>
      <c r="J43">
        <v>41</v>
      </c>
      <c r="K43" t="s">
        <v>270</v>
      </c>
      <c r="L43">
        <v>41</v>
      </c>
      <c r="M43" t="s">
        <v>848</v>
      </c>
      <c r="O43" t="s">
        <v>412</v>
      </c>
      <c r="P43">
        <f>IF(SUMIFS(StandardName[IDinTheRanking],StandardName[StandardizedName],Analiza_wRankingach[[#This Row],[Nazwa uczelni]],StandardName[Ranking],"=THE")&gt;0,1,0)</f>
        <v>1</v>
      </c>
      <c r="Q43">
        <f>IF(SUMIFS(StandardName[IDinTheRanking],StandardName[StandardizedName],Analiza_wRankingach[[#This Row],[Nazwa uczelni]],StandardName[Ranking],"=ARWU")&gt;0,1,0)</f>
        <v>1</v>
      </c>
      <c r="R43">
        <f>IF(SUMIFS(StandardName[IDinTheRanking],StandardName[StandardizedName],Analiza_wRankingach[[#This Row],[Nazwa uczelni]],StandardName[Ranking],"=QS")&gt;0,1,0)</f>
        <v>1</v>
      </c>
      <c r="S43">
        <f>IF(SUMIFS(StandardName[IDinTheRanking],StandardName[StandardizedName],Analiza_wRankingach[[#This Row],[Nazwa uczelni]],StandardName[Ranking],"=Webometrics")&gt;0,1,0)</f>
        <v>1</v>
      </c>
      <c r="T43">
        <f>SUM(Analiza_wRankingach[[#This Row],[THE]:[Webometrics]])</f>
        <v>4</v>
      </c>
      <c r="U43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81</v>
      </c>
      <c r="V43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33</v>
      </c>
      <c r="W43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83</v>
      </c>
      <c r="X43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20</v>
      </c>
      <c r="Y43">
        <f>SUM(Analiza_wRankingach[[#This Row],[THE_RV1000]:[Webometrics_RV1000]])</f>
        <v>217</v>
      </c>
      <c r="Z43">
        <f>SUMIFS(StandardName[RankValueInTheRanking],StandardName[StandardizedName],Analiza_wRankingach[[#This Row],[Nazwa uczelni]],StandardName[Ranking],"=THE")</f>
        <v>81</v>
      </c>
      <c r="AA43">
        <f>SUMIFS(StandardName[RankValueInTheRanking],StandardName[StandardizedName],Analiza_wRankingach[[#This Row],[Nazwa uczelni]],StandardName[Ranking],"=ARWU")</f>
        <v>33</v>
      </c>
      <c r="AB43">
        <f>SUMIFS(StandardName[RankValueInTheRanking],StandardName[StandardizedName],Analiza_wRankingach[[#This Row],[Nazwa uczelni]],StandardName[Ranking],"=QS")</f>
        <v>83</v>
      </c>
      <c r="AC43">
        <f>SUMIFS(StandardName[RankValueInTheRanking],StandardName[StandardizedName],Analiza_wRankingach[[#This Row],[Nazwa uczelni]],StandardName[Ranking],"=Webometrics")</f>
        <v>20</v>
      </c>
      <c r="AD43">
        <f>SUMIFS(StandardName[IDinTheRanking],StandardName[StandardizedName],Analiza_wRankingach[[#This Row],[Nazwa uczelni]],StandardName[Ranking],"=THE")</f>
        <v>81</v>
      </c>
      <c r="AE43">
        <f>SUMIFS(StandardName[IDinTheRanking],StandardName[StandardizedName],Analiza_wRankingach[[#This Row],[Nazwa uczelni]],StandardName[Ranking],"=ARWU")</f>
        <v>33</v>
      </c>
      <c r="AF43">
        <f>SUMIFS(StandardName[IDinTheRanking],StandardName[StandardizedName],Analiza_wRankingach[[#This Row],[Nazwa uczelni]],StandardName[Ranking],"=QS")</f>
        <v>83</v>
      </c>
      <c r="AG43">
        <f>SUMIFS(StandardName[IDinTheRanking],StandardName[StandardizedName],Analiza_wRankingach[[#This Row],[Nazwa uczelni]],StandardName[Ranking],"=Webometrics")</f>
        <v>20</v>
      </c>
      <c r="AH43">
        <f>SUM(Analiza_wRankingach[[#This Row],[THE_ID]:[Webometrics_ID]])</f>
        <v>217</v>
      </c>
      <c r="AI43" t="str">
        <f>IF(Analiza_wRankingach[[#This Row],[LiczbaWystąpień]]&gt;=T44,"OK","UWAGA")</f>
        <v>OK</v>
      </c>
    </row>
    <row r="44" spans="1:35" x14ac:dyDescent="0.45">
      <c r="A44">
        <v>42</v>
      </c>
      <c r="B44" t="str">
        <f>Analiza_wRankingach[[#This Row],[Nazwa uczelni]]</f>
        <v>Shanghai Jiao Tong University</v>
      </c>
      <c r="C44">
        <f>Analiza_wRankingach[[#This Row],[WartośćKontrolna]]</f>
        <v>221</v>
      </c>
      <c r="D44">
        <f>Analiza_wRankingach[[#This Row],[THE_RV]]</f>
        <v>52</v>
      </c>
      <c r="E44">
        <f>Analiza_wRankingach[[#This Row],[ARWU_RV]]</f>
        <v>54</v>
      </c>
      <c r="F44">
        <f>Analiza_wRankingach[[#This Row],[QS_RV]]</f>
        <v>46</v>
      </c>
      <c r="G44">
        <f>Analiza_wRankingach[[#This Row],[Webometrics_RV]]</f>
        <v>69</v>
      </c>
      <c r="I44" t="s">
        <v>360</v>
      </c>
      <c r="J44">
        <v>42</v>
      </c>
      <c r="K44" t="s">
        <v>360</v>
      </c>
      <c r="L44">
        <v>41</v>
      </c>
      <c r="M44" t="s">
        <v>848</v>
      </c>
      <c r="O44" t="s">
        <v>286</v>
      </c>
      <c r="P44">
        <f>IF(SUMIFS(StandardName[IDinTheRanking],StandardName[StandardizedName],Analiza_wRankingach[[#This Row],[Nazwa uczelni]],StandardName[Ranking],"=THE")&gt;0,1,0)</f>
        <v>1</v>
      </c>
      <c r="Q44">
        <f>IF(SUMIFS(StandardName[IDinTheRanking],StandardName[StandardizedName],Analiza_wRankingach[[#This Row],[Nazwa uczelni]],StandardName[Ranking],"=ARWU")&gt;0,1,0)</f>
        <v>1</v>
      </c>
      <c r="R44">
        <f>IF(SUMIFS(StandardName[IDinTheRanking],StandardName[StandardizedName],Analiza_wRankingach[[#This Row],[Nazwa uczelni]],StandardName[Ranking],"=QS")&gt;0,1,0)</f>
        <v>1</v>
      </c>
      <c r="S44">
        <f>IF(SUMIFS(StandardName[IDinTheRanking],StandardName[StandardizedName],Analiza_wRankingach[[#This Row],[Nazwa uczelni]],StandardName[Ranking],"=Webometrics")&gt;0,1,0)</f>
        <v>1</v>
      </c>
      <c r="T44">
        <f>SUM(Analiza_wRankingach[[#This Row],[THE]:[Webometrics]])</f>
        <v>4</v>
      </c>
      <c r="U44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52</v>
      </c>
      <c r="V44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54</v>
      </c>
      <c r="W44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46</v>
      </c>
      <c r="X44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69</v>
      </c>
      <c r="Y44">
        <f>SUM(Analiza_wRankingach[[#This Row],[THE_RV1000]:[Webometrics_RV1000]])</f>
        <v>221</v>
      </c>
      <c r="Z44">
        <f>SUMIFS(StandardName[RankValueInTheRanking],StandardName[StandardizedName],Analiza_wRankingach[[#This Row],[Nazwa uczelni]],StandardName[Ranking],"=THE")</f>
        <v>52</v>
      </c>
      <c r="AA44">
        <f>SUMIFS(StandardName[RankValueInTheRanking],StandardName[StandardizedName],Analiza_wRankingach[[#This Row],[Nazwa uczelni]],StandardName[Ranking],"=ARWU")</f>
        <v>54</v>
      </c>
      <c r="AB44">
        <f>SUMIFS(StandardName[RankValueInTheRanking],StandardName[StandardizedName],Analiza_wRankingach[[#This Row],[Nazwa uczelni]],StandardName[Ranking],"=QS")</f>
        <v>46</v>
      </c>
      <c r="AC44">
        <f>SUMIFS(StandardName[RankValueInTheRanking],StandardName[StandardizedName],Analiza_wRankingach[[#This Row],[Nazwa uczelni]],StandardName[Ranking],"=Webometrics")</f>
        <v>69</v>
      </c>
      <c r="AD44">
        <f>SUMIFS(StandardName[IDinTheRanking],StandardName[StandardizedName],Analiza_wRankingach[[#This Row],[Nazwa uczelni]],StandardName[Ranking],"=THE")</f>
        <v>52</v>
      </c>
      <c r="AE44">
        <f>SUMIFS(StandardName[IDinTheRanking],StandardName[StandardizedName],Analiza_wRankingach[[#This Row],[Nazwa uczelni]],StandardName[Ranking],"=ARWU")</f>
        <v>54</v>
      </c>
      <c r="AF44">
        <f>SUMIFS(StandardName[IDinTheRanking],StandardName[StandardizedName],Analiza_wRankingach[[#This Row],[Nazwa uczelni]],StandardName[Ranking],"=QS")</f>
        <v>46</v>
      </c>
      <c r="AG44">
        <f>SUMIFS(StandardName[IDinTheRanking],StandardName[StandardizedName],Analiza_wRankingach[[#This Row],[Nazwa uczelni]],StandardName[Ranking],"=Webometrics")</f>
        <v>69</v>
      </c>
      <c r="AH44">
        <f>SUM(Analiza_wRankingach[[#This Row],[THE_ID]:[Webometrics_ID]])</f>
        <v>221</v>
      </c>
      <c r="AI44" t="str">
        <f>IF(Analiza_wRankingach[[#This Row],[LiczbaWystąpień]]&gt;=T45,"OK","UWAGA")</f>
        <v>OK</v>
      </c>
    </row>
    <row r="45" spans="1:35" x14ac:dyDescent="0.45">
      <c r="A45">
        <v>43</v>
      </c>
      <c r="B45" t="str">
        <f>Analiza_wRankingach[[#This Row],[Nazwa uczelni]]</f>
        <v>University of New South Wales</v>
      </c>
      <c r="C45">
        <f>Analiza_wRankingach[[#This Row],[WartośćKontrolna]]</f>
        <v>221</v>
      </c>
      <c r="D45">
        <f>Analiza_wRankingach[[#This Row],[THE_RV]]</f>
        <v>71</v>
      </c>
      <c r="E45">
        <f>Analiza_wRankingach[[#This Row],[ARWU_RV]]</f>
        <v>64</v>
      </c>
      <c r="F45">
        <f>Analiza_wRankingach[[#This Row],[QS_RV]]</f>
        <v>45</v>
      </c>
      <c r="G45">
        <f>Analiza_wRankingach[[#This Row],[Webometrics_RV]]</f>
        <v>41</v>
      </c>
      <c r="I45" t="s">
        <v>446</v>
      </c>
      <c r="J45">
        <v>43</v>
      </c>
      <c r="K45" t="s">
        <v>446</v>
      </c>
      <c r="L45">
        <v>43</v>
      </c>
      <c r="M45" t="s">
        <v>848</v>
      </c>
      <c r="O45" t="s">
        <v>810</v>
      </c>
      <c r="P45">
        <f>IF(SUMIFS(StandardName[IDinTheRanking],StandardName[StandardizedName],Analiza_wRankingach[[#This Row],[Nazwa uczelni]],StandardName[Ranking],"=THE")&gt;0,1,0)</f>
        <v>1</v>
      </c>
      <c r="Q45">
        <f>IF(SUMIFS(StandardName[IDinTheRanking],StandardName[StandardizedName],Analiza_wRankingach[[#This Row],[Nazwa uczelni]],StandardName[Ranking],"=ARWU")&gt;0,1,0)</f>
        <v>1</v>
      </c>
      <c r="R45">
        <f>IF(SUMIFS(StandardName[IDinTheRanking],StandardName[StandardizedName],Analiza_wRankingach[[#This Row],[Nazwa uczelni]],StandardName[Ranking],"=QS")&gt;0,1,0)</f>
        <v>1</v>
      </c>
      <c r="S45">
        <f>IF(SUMIFS(StandardName[IDinTheRanking],StandardName[StandardizedName],Analiza_wRankingach[[#This Row],[Nazwa uczelni]],StandardName[Ranking],"=Webometrics")&gt;0,1,0)</f>
        <v>1</v>
      </c>
      <c r="T45">
        <f>SUM(Analiza_wRankingach[[#This Row],[THE]:[Webometrics]])</f>
        <v>4</v>
      </c>
      <c r="U45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71</v>
      </c>
      <c r="V45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64</v>
      </c>
      <c r="W45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45</v>
      </c>
      <c r="X45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41</v>
      </c>
      <c r="Y45">
        <f>SUM(Analiza_wRankingach[[#This Row],[THE_RV1000]:[Webometrics_RV1000]])</f>
        <v>221</v>
      </c>
      <c r="Z45">
        <f>SUMIFS(StandardName[RankValueInTheRanking],StandardName[StandardizedName],Analiza_wRankingach[[#This Row],[Nazwa uczelni]],StandardName[Ranking],"=THE")</f>
        <v>71</v>
      </c>
      <c r="AA45">
        <f>SUMIFS(StandardName[RankValueInTheRanking],StandardName[StandardizedName],Analiza_wRankingach[[#This Row],[Nazwa uczelni]],StandardName[Ranking],"=ARWU")</f>
        <v>64</v>
      </c>
      <c r="AB45">
        <f>SUMIFS(StandardName[RankValueInTheRanking],StandardName[StandardizedName],Analiza_wRankingach[[#This Row],[Nazwa uczelni]],StandardName[Ranking],"=QS")</f>
        <v>45</v>
      </c>
      <c r="AC45">
        <f>SUMIFS(StandardName[RankValueInTheRanking],StandardName[StandardizedName],Analiza_wRankingach[[#This Row],[Nazwa uczelni]],StandardName[Ranking],"=Webometrics")</f>
        <v>41</v>
      </c>
      <c r="AD45">
        <f>SUMIFS(StandardName[IDinTheRanking],StandardName[StandardizedName],Analiza_wRankingach[[#This Row],[Nazwa uczelni]],StandardName[Ranking],"=THE")</f>
        <v>72</v>
      </c>
      <c r="AE45">
        <f>SUMIFS(StandardName[IDinTheRanking],StandardName[StandardizedName],Analiza_wRankingach[[#This Row],[Nazwa uczelni]],StandardName[Ranking],"=ARWU")</f>
        <v>64</v>
      </c>
      <c r="AF45">
        <f>SUMIFS(StandardName[IDinTheRanking],StandardName[StandardizedName],Analiza_wRankingach[[#This Row],[Nazwa uczelni]],StandardName[Ranking],"=QS")</f>
        <v>45</v>
      </c>
      <c r="AG45">
        <f>SUMIFS(StandardName[IDinTheRanking],StandardName[StandardizedName],Analiza_wRankingach[[#This Row],[Nazwa uczelni]],StandardName[Ranking],"=Webometrics")</f>
        <v>41</v>
      </c>
      <c r="AH45">
        <f>SUM(Analiza_wRankingach[[#This Row],[THE_ID]:[Webometrics_ID]])</f>
        <v>222</v>
      </c>
      <c r="AI45" t="str">
        <f>IF(Analiza_wRankingach[[#This Row],[LiczbaWystąpień]]&gt;=T46,"OK","UWAGA")</f>
        <v>OK</v>
      </c>
    </row>
    <row r="46" spans="1:35" x14ac:dyDescent="0.45">
      <c r="A46">
        <v>44</v>
      </c>
      <c r="B46" t="str">
        <f>Analiza_wRankingach[[#This Row],[Nazwa uczelni]]</f>
        <v>University of Hong Kong</v>
      </c>
      <c r="C46">
        <f>Analiza_wRankingach[[#This Row],[WartośćKontrolna]]</f>
        <v>223</v>
      </c>
      <c r="D46">
        <f>Analiza_wRankingach[[#This Row],[THE_RV]]</f>
        <v>31</v>
      </c>
      <c r="E46">
        <f>Analiza_wRankingach[[#This Row],[ARWU_RV]]</f>
        <v>96</v>
      </c>
      <c r="F46">
        <f>Analiza_wRankingach[[#This Row],[QS_RV]]</f>
        <v>21</v>
      </c>
      <c r="G46">
        <f>Analiza_wRankingach[[#This Row],[Webometrics_RV]]</f>
        <v>75</v>
      </c>
      <c r="I46" t="s">
        <v>552</v>
      </c>
      <c r="J46">
        <v>44</v>
      </c>
      <c r="K46" t="s">
        <v>552</v>
      </c>
      <c r="L46">
        <v>44</v>
      </c>
      <c r="M46" t="s">
        <v>848</v>
      </c>
      <c r="O46" t="s">
        <v>179</v>
      </c>
      <c r="P46">
        <f>IF(SUMIFS(StandardName[IDinTheRanking],StandardName[StandardizedName],Analiza_wRankingach[[#This Row],[Nazwa uczelni]],StandardName[Ranking],"=THE")&gt;0,1,0)</f>
        <v>1</v>
      </c>
      <c r="Q46">
        <f>IF(SUMIFS(StandardName[IDinTheRanking],StandardName[StandardizedName],Analiza_wRankingach[[#This Row],[Nazwa uczelni]],StandardName[Ranking],"=ARWU")&gt;0,1,0)</f>
        <v>1</v>
      </c>
      <c r="R46">
        <f>IF(SUMIFS(StandardName[IDinTheRanking],StandardName[StandardizedName],Analiza_wRankingach[[#This Row],[Nazwa uczelni]],StandardName[Ranking],"=QS")&gt;0,1,0)</f>
        <v>1</v>
      </c>
      <c r="S46">
        <f>IF(SUMIFS(StandardName[IDinTheRanking],StandardName[StandardizedName],Analiza_wRankingach[[#This Row],[Nazwa uczelni]],StandardName[Ranking],"=Webometrics")&gt;0,1,0)</f>
        <v>1</v>
      </c>
      <c r="T46">
        <f>SUM(Analiza_wRankingach[[#This Row],[THE]:[Webometrics]])</f>
        <v>4</v>
      </c>
      <c r="U46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31</v>
      </c>
      <c r="V46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96</v>
      </c>
      <c r="W46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21</v>
      </c>
      <c r="X46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75</v>
      </c>
      <c r="Y46">
        <f>SUM(Analiza_wRankingach[[#This Row],[THE_RV1000]:[Webometrics_RV1000]])</f>
        <v>223</v>
      </c>
      <c r="Z46">
        <f>SUMIFS(StandardName[RankValueInTheRanking],StandardName[StandardizedName],Analiza_wRankingach[[#This Row],[Nazwa uczelni]],StandardName[Ranking],"=THE")</f>
        <v>31</v>
      </c>
      <c r="AA46">
        <f>SUMIFS(StandardName[RankValueInTheRanking],StandardName[StandardizedName],Analiza_wRankingach[[#This Row],[Nazwa uczelni]],StandardName[Ranking],"=ARWU")</f>
        <v>96</v>
      </c>
      <c r="AB46">
        <f>SUMIFS(StandardName[RankValueInTheRanking],StandardName[StandardizedName],Analiza_wRankingach[[#This Row],[Nazwa uczelni]],StandardName[Ranking],"=QS")</f>
        <v>21</v>
      </c>
      <c r="AC46">
        <f>SUMIFS(StandardName[RankValueInTheRanking],StandardName[StandardizedName],Analiza_wRankingach[[#This Row],[Nazwa uczelni]],StandardName[Ranking],"=Webometrics")</f>
        <v>75</v>
      </c>
      <c r="AD46">
        <f>SUMIFS(StandardName[IDinTheRanking],StandardName[StandardizedName],Analiza_wRankingach[[#This Row],[Nazwa uczelni]],StandardName[Ranking],"=THE")</f>
        <v>31</v>
      </c>
      <c r="AE46">
        <f>SUMIFS(StandardName[IDinTheRanking],StandardName[StandardizedName],Analiza_wRankingach[[#This Row],[Nazwa uczelni]],StandardName[Ranking],"=ARWU")</f>
        <v>97</v>
      </c>
      <c r="AF46">
        <f>SUMIFS(StandardName[IDinTheRanking],StandardName[StandardizedName],Analiza_wRankingach[[#This Row],[Nazwa uczelni]],StandardName[Ranking],"=QS")</f>
        <v>21</v>
      </c>
      <c r="AG46">
        <f>SUMIFS(StandardName[IDinTheRanking],StandardName[StandardizedName],Analiza_wRankingach[[#This Row],[Nazwa uczelni]],StandardName[Ranking],"=Webometrics")</f>
        <v>75</v>
      </c>
      <c r="AH46">
        <f>SUM(Analiza_wRankingach[[#This Row],[THE_ID]:[Webometrics_ID]])</f>
        <v>224</v>
      </c>
      <c r="AI46" t="str">
        <f>IF(Analiza_wRankingach[[#This Row],[LiczbaWystąpień]]&gt;=T47,"OK","UWAGA")</f>
        <v>OK</v>
      </c>
    </row>
    <row r="47" spans="1:35" x14ac:dyDescent="0.45">
      <c r="A47">
        <v>45</v>
      </c>
      <c r="B47" t="str">
        <f>Analiza_wRankingach[[#This Row],[Nazwa uczelni]]</f>
        <v>Nanyang Technological University</v>
      </c>
      <c r="C47">
        <f>Analiza_wRankingach[[#This Row],[WartośćKontrolna]]</f>
        <v>230</v>
      </c>
      <c r="D47">
        <f>Analiza_wRankingach[[#This Row],[THE_RV]]</f>
        <v>36</v>
      </c>
      <c r="E47">
        <f>Analiza_wRankingach[[#This Row],[ARWU_RV]]</f>
        <v>88</v>
      </c>
      <c r="F47">
        <f>Analiza_wRankingach[[#This Row],[QS_RV]]</f>
        <v>19</v>
      </c>
      <c r="G47">
        <f>Analiza_wRankingach[[#This Row],[Webometrics_RV]]</f>
        <v>87</v>
      </c>
      <c r="I47" t="s">
        <v>225</v>
      </c>
      <c r="J47">
        <v>45</v>
      </c>
      <c r="K47" t="s">
        <v>225</v>
      </c>
      <c r="L47">
        <v>44</v>
      </c>
      <c r="M47" t="s">
        <v>848</v>
      </c>
      <c r="O47" t="s">
        <v>614</v>
      </c>
      <c r="P47">
        <f>IF(SUMIFS(StandardName[IDinTheRanking],StandardName[StandardizedName],Analiza_wRankingach[[#This Row],[Nazwa uczelni]],StandardName[Ranking],"=THE")&gt;0,1,0)</f>
        <v>1</v>
      </c>
      <c r="Q47">
        <f>IF(SUMIFS(StandardName[IDinTheRanking],StandardName[StandardizedName],Analiza_wRankingach[[#This Row],[Nazwa uczelni]],StandardName[Ranking],"=ARWU")&gt;0,1,0)</f>
        <v>1</v>
      </c>
      <c r="R47">
        <f>IF(SUMIFS(StandardName[IDinTheRanking],StandardName[StandardizedName],Analiza_wRankingach[[#This Row],[Nazwa uczelni]],StandardName[Ranking],"=QS")&gt;0,1,0)</f>
        <v>1</v>
      </c>
      <c r="S47">
        <f>IF(SUMIFS(StandardName[IDinTheRanking],StandardName[StandardizedName],Analiza_wRankingach[[#This Row],[Nazwa uczelni]],StandardName[Ranking],"=Webometrics")&gt;0,1,0)</f>
        <v>1</v>
      </c>
      <c r="T47">
        <f>SUM(Analiza_wRankingach[[#This Row],[THE]:[Webometrics]])</f>
        <v>4</v>
      </c>
      <c r="U47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36</v>
      </c>
      <c r="V47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88</v>
      </c>
      <c r="W47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19</v>
      </c>
      <c r="X47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87</v>
      </c>
      <c r="Y47">
        <f>SUM(Analiza_wRankingach[[#This Row],[THE_RV1000]:[Webometrics_RV1000]])</f>
        <v>230</v>
      </c>
      <c r="Z47">
        <f>SUMIFS(StandardName[RankValueInTheRanking],StandardName[StandardizedName],Analiza_wRankingach[[#This Row],[Nazwa uczelni]],StandardName[Ranking],"=THE")</f>
        <v>36</v>
      </c>
      <c r="AA47">
        <f>SUMIFS(StandardName[RankValueInTheRanking],StandardName[StandardizedName],Analiza_wRankingach[[#This Row],[Nazwa uczelni]],StandardName[Ranking],"=ARWU")</f>
        <v>88</v>
      </c>
      <c r="AB47">
        <f>SUMIFS(StandardName[RankValueInTheRanking],StandardName[StandardizedName],Analiza_wRankingach[[#This Row],[Nazwa uczelni]],StandardName[Ranking],"=QS")</f>
        <v>19</v>
      </c>
      <c r="AC47">
        <f>SUMIFS(StandardName[RankValueInTheRanking],StandardName[StandardizedName],Analiza_wRankingach[[#This Row],[Nazwa uczelni]],StandardName[Ranking],"=Webometrics")</f>
        <v>87</v>
      </c>
      <c r="AD47">
        <f>SUMIFS(StandardName[IDinTheRanking],StandardName[StandardizedName],Analiza_wRankingach[[#This Row],[Nazwa uczelni]],StandardName[Ranking],"=THE")</f>
        <v>36</v>
      </c>
      <c r="AE47">
        <f>SUMIFS(StandardName[IDinTheRanking],StandardName[StandardizedName],Analiza_wRankingach[[#This Row],[Nazwa uczelni]],StandardName[Ranking],"=ARWU")</f>
        <v>88</v>
      </c>
      <c r="AF47">
        <f>SUMIFS(StandardName[IDinTheRanking],StandardName[StandardizedName],Analiza_wRankingach[[#This Row],[Nazwa uczelni]],StandardName[Ranking],"=QS")</f>
        <v>19</v>
      </c>
      <c r="AG47">
        <f>SUMIFS(StandardName[IDinTheRanking],StandardName[StandardizedName],Analiza_wRankingach[[#This Row],[Nazwa uczelni]],StandardName[Ranking],"=Webometrics")</f>
        <v>87</v>
      </c>
      <c r="AH47">
        <f>SUM(Analiza_wRankingach[[#This Row],[THE_ID]:[Webometrics_ID]])</f>
        <v>230</v>
      </c>
      <c r="AI47" t="str">
        <f>IF(Analiza_wRankingach[[#This Row],[LiczbaWystąpień]]&gt;=T48,"OK","UWAGA")</f>
        <v>OK</v>
      </c>
    </row>
    <row r="48" spans="1:35" x14ac:dyDescent="0.45">
      <c r="A48">
        <v>46</v>
      </c>
      <c r="B48" t="str">
        <f>Analiza_wRankingach[[#This Row],[Nazwa uczelni]]</f>
        <v>Monash University</v>
      </c>
      <c r="C48">
        <f>Analiza_wRankingach[[#This Row],[WartośćKontrolna]]</f>
        <v>233</v>
      </c>
      <c r="D48">
        <f>Analiza_wRankingach[[#This Row],[THE_RV]]</f>
        <v>44</v>
      </c>
      <c r="E48">
        <f>Analiza_wRankingach[[#This Row],[ARWU_RV]]</f>
        <v>75</v>
      </c>
      <c r="F48">
        <f>Analiza_wRankingach[[#This Row],[QS_RV]]</f>
        <v>57</v>
      </c>
      <c r="G48">
        <f>Analiza_wRankingach[[#This Row],[Webometrics_RV]]</f>
        <v>57</v>
      </c>
      <c r="I48" t="s">
        <v>556</v>
      </c>
      <c r="J48">
        <v>46</v>
      </c>
      <c r="K48" t="s">
        <v>556</v>
      </c>
      <c r="L48">
        <v>44</v>
      </c>
      <c r="M48" t="s">
        <v>848</v>
      </c>
      <c r="O48" t="s">
        <v>245</v>
      </c>
      <c r="P48">
        <f>IF(SUMIFS(StandardName[IDinTheRanking],StandardName[StandardizedName],Analiza_wRankingach[[#This Row],[Nazwa uczelni]],StandardName[Ranking],"=THE")&gt;0,1,0)</f>
        <v>1</v>
      </c>
      <c r="Q48">
        <f>IF(SUMIFS(StandardName[IDinTheRanking],StandardName[StandardizedName],Analiza_wRankingach[[#This Row],[Nazwa uczelni]],StandardName[Ranking],"=ARWU")&gt;0,1,0)</f>
        <v>1</v>
      </c>
      <c r="R48">
        <f>IF(SUMIFS(StandardName[IDinTheRanking],StandardName[StandardizedName],Analiza_wRankingach[[#This Row],[Nazwa uczelni]],StandardName[Ranking],"=QS")&gt;0,1,0)</f>
        <v>1</v>
      </c>
      <c r="S48">
        <f>IF(SUMIFS(StandardName[IDinTheRanking],StandardName[StandardizedName],Analiza_wRankingach[[#This Row],[Nazwa uczelni]],StandardName[Ranking],"=Webometrics")&gt;0,1,0)</f>
        <v>1</v>
      </c>
      <c r="T48">
        <f>SUM(Analiza_wRankingach[[#This Row],[THE]:[Webometrics]])</f>
        <v>4</v>
      </c>
      <c r="U48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44</v>
      </c>
      <c r="V48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75</v>
      </c>
      <c r="W48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57</v>
      </c>
      <c r="X48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57</v>
      </c>
      <c r="Y48">
        <f>SUM(Analiza_wRankingach[[#This Row],[THE_RV1000]:[Webometrics_RV1000]])</f>
        <v>233</v>
      </c>
      <c r="Z48">
        <f>SUMIFS(StandardName[RankValueInTheRanking],StandardName[StandardizedName],Analiza_wRankingach[[#This Row],[Nazwa uczelni]],StandardName[Ranking],"=THE")</f>
        <v>44</v>
      </c>
      <c r="AA48">
        <f>SUMIFS(StandardName[RankValueInTheRanking],StandardName[StandardizedName],Analiza_wRankingach[[#This Row],[Nazwa uczelni]],StandardName[Ranking],"=ARWU")</f>
        <v>75</v>
      </c>
      <c r="AB48">
        <f>SUMIFS(StandardName[RankValueInTheRanking],StandardName[StandardizedName],Analiza_wRankingach[[#This Row],[Nazwa uczelni]],StandardName[Ranking],"=QS")</f>
        <v>57</v>
      </c>
      <c r="AC48">
        <f>SUMIFS(StandardName[RankValueInTheRanking],StandardName[StandardizedName],Analiza_wRankingach[[#This Row],[Nazwa uczelni]],StandardName[Ranking],"=Webometrics")</f>
        <v>57</v>
      </c>
      <c r="AD48">
        <f>SUMIFS(StandardName[IDinTheRanking],StandardName[StandardizedName],Analiza_wRankingach[[#This Row],[Nazwa uczelni]],StandardName[Ranking],"=THE")</f>
        <v>44</v>
      </c>
      <c r="AE48">
        <f>SUMIFS(StandardName[IDinTheRanking],StandardName[StandardizedName],Analiza_wRankingach[[#This Row],[Nazwa uczelni]],StandardName[Ranking],"=ARWU")</f>
        <v>75</v>
      </c>
      <c r="AF48">
        <f>SUMIFS(StandardName[IDinTheRanking],StandardName[StandardizedName],Analiza_wRankingach[[#This Row],[Nazwa uczelni]],StandardName[Ranking],"=QS")</f>
        <v>57</v>
      </c>
      <c r="AG48">
        <f>SUMIFS(StandardName[IDinTheRanking],StandardName[StandardizedName],Analiza_wRankingach[[#This Row],[Nazwa uczelni]],StandardName[Ranking],"=Webometrics")</f>
        <v>57</v>
      </c>
      <c r="AH48">
        <f>SUM(Analiza_wRankingach[[#This Row],[THE_ID]:[Webometrics_ID]])</f>
        <v>233</v>
      </c>
      <c r="AI48" t="str">
        <f>IF(Analiza_wRankingach[[#This Row],[LiczbaWystąpień]]&gt;=T49,"OK","UWAGA")</f>
        <v>OK</v>
      </c>
    </row>
    <row r="49" spans="1:35" x14ac:dyDescent="0.45">
      <c r="A49">
        <v>47</v>
      </c>
      <c r="B49" t="str">
        <f>Analiza_wRankingach[[#This Row],[Nazwa uczelni]]</f>
        <v>Australian National University</v>
      </c>
      <c r="C49">
        <f>Analiza_wRankingach[[#This Row],[WartośćKontrolna]]</f>
        <v>250</v>
      </c>
      <c r="D49">
        <f>Analiza_wRankingach[[#This Row],[THE_RV]]</f>
        <v>62</v>
      </c>
      <c r="E49">
        <f>Analiza_wRankingach[[#This Row],[ARWU_RV]]</f>
        <v>79</v>
      </c>
      <c r="F49">
        <f>Analiza_wRankingach[[#This Row],[QS_RV]]</f>
        <v>30</v>
      </c>
      <c r="G49">
        <f>Analiza_wRankingach[[#This Row],[Webometrics_RV]]</f>
        <v>79</v>
      </c>
      <c r="I49" t="s">
        <v>289</v>
      </c>
      <c r="J49">
        <v>47</v>
      </c>
      <c r="K49" t="s">
        <v>816</v>
      </c>
      <c r="L49">
        <v>47</v>
      </c>
      <c r="M49" t="s">
        <v>848</v>
      </c>
      <c r="O49" t="s">
        <v>337</v>
      </c>
      <c r="P49">
        <f>IF(SUMIFS(StandardName[IDinTheRanking],StandardName[StandardizedName],Analiza_wRankingach[[#This Row],[Nazwa uczelni]],StandardName[Ranking],"=THE")&gt;0,1,0)</f>
        <v>1</v>
      </c>
      <c r="Q49">
        <f>IF(SUMIFS(StandardName[IDinTheRanking],StandardName[StandardizedName],Analiza_wRankingach[[#This Row],[Nazwa uczelni]],StandardName[Ranking],"=ARWU")&gt;0,1,0)</f>
        <v>1</v>
      </c>
      <c r="R49">
        <f>IF(SUMIFS(StandardName[IDinTheRanking],StandardName[StandardizedName],Analiza_wRankingach[[#This Row],[Nazwa uczelni]],StandardName[Ranking],"=QS")&gt;0,1,0)</f>
        <v>1</v>
      </c>
      <c r="S49">
        <f>IF(SUMIFS(StandardName[IDinTheRanking],StandardName[StandardizedName],Analiza_wRankingach[[#This Row],[Nazwa uczelni]],StandardName[Ranking],"=Webometrics")&gt;0,1,0)</f>
        <v>1</v>
      </c>
      <c r="T49">
        <f>SUM(Analiza_wRankingach[[#This Row],[THE]:[Webometrics]])</f>
        <v>4</v>
      </c>
      <c r="U49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62</v>
      </c>
      <c r="V49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79</v>
      </c>
      <c r="W49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30</v>
      </c>
      <c r="X49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79</v>
      </c>
      <c r="Y49">
        <f>SUM(Analiza_wRankingach[[#This Row],[THE_RV1000]:[Webometrics_RV1000]])</f>
        <v>250</v>
      </c>
      <c r="Z49">
        <f>SUMIFS(StandardName[RankValueInTheRanking],StandardName[StandardizedName],Analiza_wRankingach[[#This Row],[Nazwa uczelni]],StandardName[Ranking],"=THE")</f>
        <v>62</v>
      </c>
      <c r="AA49">
        <f>SUMIFS(StandardName[RankValueInTheRanking],StandardName[StandardizedName],Analiza_wRankingach[[#This Row],[Nazwa uczelni]],StandardName[Ranking],"=ARWU")</f>
        <v>79</v>
      </c>
      <c r="AB49">
        <f>SUMIFS(StandardName[RankValueInTheRanking],StandardName[StandardizedName],Analiza_wRankingach[[#This Row],[Nazwa uczelni]],StandardName[Ranking],"=QS")</f>
        <v>30</v>
      </c>
      <c r="AC49">
        <f>SUMIFS(StandardName[RankValueInTheRanking],StandardName[StandardizedName],Analiza_wRankingach[[#This Row],[Nazwa uczelni]],StandardName[Ranking],"=Webometrics")</f>
        <v>79</v>
      </c>
      <c r="AD49">
        <f>SUMIFS(StandardName[IDinTheRanking],StandardName[StandardizedName],Analiza_wRankingach[[#This Row],[Nazwa uczelni]],StandardName[Ranking],"=THE")</f>
        <v>62</v>
      </c>
      <c r="AE49">
        <f>SUMIFS(StandardName[IDinTheRanking],StandardName[StandardizedName],Analiza_wRankingach[[#This Row],[Nazwa uczelni]],StandardName[Ranking],"=ARWU")</f>
        <v>80</v>
      </c>
      <c r="AF49">
        <f>SUMIFS(StandardName[IDinTheRanking],StandardName[StandardizedName],Analiza_wRankingach[[#This Row],[Nazwa uczelni]],StandardName[Ranking],"=QS")</f>
        <v>30</v>
      </c>
      <c r="AG49">
        <f>SUMIFS(StandardName[IDinTheRanking],StandardName[StandardizedName],Analiza_wRankingach[[#This Row],[Nazwa uczelni]],StandardName[Ranking],"=Webometrics")</f>
        <v>79</v>
      </c>
      <c r="AH49">
        <f>SUM(Analiza_wRankingach[[#This Row],[THE_ID]:[Webometrics_ID]])</f>
        <v>251</v>
      </c>
      <c r="AI49" t="str">
        <f>IF(Analiza_wRankingach[[#This Row],[LiczbaWystąpień]]&gt;=T50,"OK","UWAGA")</f>
        <v>OK</v>
      </c>
    </row>
    <row r="50" spans="1:35" x14ac:dyDescent="0.45">
      <c r="A50">
        <v>48</v>
      </c>
      <c r="B50" t="str">
        <f>Analiza_wRankingach[[#This Row],[Nazwa uczelni]]</f>
        <v>Seoul National University</v>
      </c>
      <c r="C50">
        <f>Analiza_wRankingach[[#This Row],[WartośćKontrolna]]</f>
        <v>279</v>
      </c>
      <c r="D50">
        <f>Analiza_wRankingach[[#This Row],[THE_RV]]</f>
        <v>56</v>
      </c>
      <c r="E50">
        <f>Analiza_wRankingach[[#This Row],[ARWU_RV]]</f>
        <v>98</v>
      </c>
      <c r="F50">
        <f>Analiza_wRankingach[[#This Row],[QS_RV]]</f>
        <v>29</v>
      </c>
      <c r="G50">
        <f>Analiza_wRankingach[[#This Row],[Webometrics_RV]]</f>
        <v>96</v>
      </c>
      <c r="I50" t="s">
        <v>558</v>
      </c>
      <c r="J50">
        <v>48</v>
      </c>
      <c r="K50" t="s">
        <v>199</v>
      </c>
      <c r="L50">
        <v>48</v>
      </c>
      <c r="M50" t="s">
        <v>848</v>
      </c>
      <c r="O50" t="s">
        <v>306</v>
      </c>
      <c r="P50">
        <f>IF(SUMIFS(StandardName[IDinTheRanking],StandardName[StandardizedName],Analiza_wRankingach[[#This Row],[Nazwa uczelni]],StandardName[Ranking],"=THE")&gt;0,1,0)</f>
        <v>1</v>
      </c>
      <c r="Q50">
        <f>IF(SUMIFS(StandardName[IDinTheRanking],StandardName[StandardizedName],Analiza_wRankingach[[#This Row],[Nazwa uczelni]],StandardName[Ranking],"=ARWU")&gt;0,1,0)</f>
        <v>1</v>
      </c>
      <c r="R50">
        <f>IF(SUMIFS(StandardName[IDinTheRanking],StandardName[StandardizedName],Analiza_wRankingach[[#This Row],[Nazwa uczelni]],StandardName[Ranking],"=QS")&gt;0,1,0)</f>
        <v>1</v>
      </c>
      <c r="S50">
        <f>IF(SUMIFS(StandardName[IDinTheRanking],StandardName[StandardizedName],Analiza_wRankingach[[#This Row],[Nazwa uczelni]],StandardName[Ranking],"=Webometrics")&gt;0,1,0)</f>
        <v>1</v>
      </c>
      <c r="T50">
        <f>SUM(Analiza_wRankingach[[#This Row],[THE]:[Webometrics]])</f>
        <v>4</v>
      </c>
      <c r="U50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56</v>
      </c>
      <c r="V50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98</v>
      </c>
      <c r="W50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29</v>
      </c>
      <c r="X50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96</v>
      </c>
      <c r="Y50">
        <f>SUM(Analiza_wRankingach[[#This Row],[THE_RV1000]:[Webometrics_RV1000]])</f>
        <v>279</v>
      </c>
      <c r="Z50">
        <f>SUMIFS(StandardName[RankValueInTheRanking],StandardName[StandardizedName],Analiza_wRankingach[[#This Row],[Nazwa uczelni]],StandardName[Ranking],"=THE")</f>
        <v>56</v>
      </c>
      <c r="AA50">
        <f>SUMIFS(StandardName[RankValueInTheRanking],StandardName[StandardizedName],Analiza_wRankingach[[#This Row],[Nazwa uczelni]],StandardName[Ranking],"=ARWU")</f>
        <v>98</v>
      </c>
      <c r="AB50">
        <f>SUMIFS(StandardName[RankValueInTheRanking],StandardName[StandardizedName],Analiza_wRankingach[[#This Row],[Nazwa uczelni]],StandardName[Ranking],"=QS")</f>
        <v>29</v>
      </c>
      <c r="AC50">
        <f>SUMIFS(StandardName[RankValueInTheRanking],StandardName[StandardizedName],Analiza_wRankingach[[#This Row],[Nazwa uczelni]],StandardName[Ranking],"=Webometrics")</f>
        <v>96</v>
      </c>
      <c r="AD50">
        <f>SUMIFS(StandardName[IDinTheRanking],StandardName[StandardizedName],Analiza_wRankingach[[#This Row],[Nazwa uczelni]],StandardName[Ranking],"=THE")</f>
        <v>56</v>
      </c>
      <c r="AE50">
        <f>SUMIFS(StandardName[IDinTheRanking],StandardName[StandardizedName],Analiza_wRankingach[[#This Row],[Nazwa uczelni]],StandardName[Ranking],"=ARWU")</f>
        <v>98</v>
      </c>
      <c r="AF50">
        <f>SUMIFS(StandardName[IDinTheRanking],StandardName[StandardizedName],Analiza_wRankingach[[#This Row],[Nazwa uczelni]],StandardName[Ranking],"=QS")</f>
        <v>29</v>
      </c>
      <c r="AG50">
        <f>SUMIFS(StandardName[IDinTheRanking],StandardName[StandardizedName],Analiza_wRankingach[[#This Row],[Nazwa uczelni]],StandardName[Ranking],"=Webometrics")</f>
        <v>96</v>
      </c>
      <c r="AH50">
        <f>SUM(Analiza_wRankingach[[#This Row],[THE_ID]:[Webometrics_ID]])</f>
        <v>279</v>
      </c>
      <c r="AI50" t="str">
        <f>IF(Analiza_wRankingach[[#This Row],[LiczbaWystąpień]]&gt;=T51,"OK","UWAGA")</f>
        <v>OK</v>
      </c>
    </row>
    <row r="51" spans="1:35" x14ac:dyDescent="0.45">
      <c r="A51">
        <v>49</v>
      </c>
      <c r="B51" t="str">
        <f>Analiza_wRankingach[[#This Row],[Nazwa uczelni]]</f>
        <v>Brown University</v>
      </c>
      <c r="C51">
        <f>Analiza_wRankingach[[#This Row],[WartośćKontrolna]]</f>
        <v>303</v>
      </c>
      <c r="D51">
        <f>Analiza_wRankingach[[#This Row],[THE_RV]]</f>
        <v>61</v>
      </c>
      <c r="E51">
        <f>Analiza_wRankingach[[#This Row],[ARWU_RV]]</f>
        <v>99</v>
      </c>
      <c r="F51">
        <f>Analiza_wRankingach[[#This Row],[QS_RV]]</f>
        <v>63</v>
      </c>
      <c r="G51">
        <f>Analiza_wRankingach[[#This Row],[Webometrics_RV]]</f>
        <v>80</v>
      </c>
      <c r="I51" t="s">
        <v>266</v>
      </c>
      <c r="J51">
        <v>49</v>
      </c>
      <c r="K51" t="s">
        <v>266</v>
      </c>
      <c r="L51">
        <v>49</v>
      </c>
      <c r="M51" t="s">
        <v>848</v>
      </c>
      <c r="O51" t="s">
        <v>332</v>
      </c>
      <c r="P51">
        <f>IF(SUMIFS(StandardName[IDinTheRanking],StandardName[StandardizedName],Analiza_wRankingach[[#This Row],[Nazwa uczelni]],StandardName[Ranking],"=THE")&gt;0,1,0)</f>
        <v>1</v>
      </c>
      <c r="Q51">
        <f>IF(SUMIFS(StandardName[IDinTheRanking],StandardName[StandardizedName],Analiza_wRankingach[[#This Row],[Nazwa uczelni]],StandardName[Ranking],"=ARWU")&gt;0,1,0)</f>
        <v>1</v>
      </c>
      <c r="R51">
        <f>IF(SUMIFS(StandardName[IDinTheRanking],StandardName[StandardizedName],Analiza_wRankingach[[#This Row],[Nazwa uczelni]],StandardName[Ranking],"=QS")&gt;0,1,0)</f>
        <v>1</v>
      </c>
      <c r="S51">
        <f>IF(SUMIFS(StandardName[IDinTheRanking],StandardName[StandardizedName],Analiza_wRankingach[[#This Row],[Nazwa uczelni]],StandardName[Ranking],"=Webometrics")&gt;0,1,0)</f>
        <v>1</v>
      </c>
      <c r="T51">
        <f>SUM(Analiza_wRankingach[[#This Row],[THE]:[Webometrics]])</f>
        <v>4</v>
      </c>
      <c r="U51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61</v>
      </c>
      <c r="V51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99</v>
      </c>
      <c r="W51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63</v>
      </c>
      <c r="X51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80</v>
      </c>
      <c r="Y51">
        <f>SUM(Analiza_wRankingach[[#This Row],[THE_RV1000]:[Webometrics_RV1000]])</f>
        <v>303</v>
      </c>
      <c r="Z51">
        <f>SUMIFS(StandardName[RankValueInTheRanking],StandardName[StandardizedName],Analiza_wRankingach[[#This Row],[Nazwa uczelni]],StandardName[Ranking],"=THE")</f>
        <v>61</v>
      </c>
      <c r="AA51">
        <f>SUMIFS(StandardName[RankValueInTheRanking],StandardName[StandardizedName],Analiza_wRankingach[[#This Row],[Nazwa uczelni]],StandardName[Ranking],"=ARWU")</f>
        <v>99</v>
      </c>
      <c r="AB51">
        <f>SUMIFS(StandardName[RankValueInTheRanking],StandardName[StandardizedName],Analiza_wRankingach[[#This Row],[Nazwa uczelni]],StandardName[Ranking],"=QS")</f>
        <v>63</v>
      </c>
      <c r="AC51">
        <f>SUMIFS(StandardName[RankValueInTheRanking],StandardName[StandardizedName],Analiza_wRankingach[[#This Row],[Nazwa uczelni]],StandardName[Ranking],"=Webometrics")</f>
        <v>80</v>
      </c>
      <c r="AD51">
        <f>SUMIFS(StandardName[IDinTheRanking],StandardName[StandardizedName],Analiza_wRankingach[[#This Row],[Nazwa uczelni]],StandardName[Ranking],"=THE")</f>
        <v>61</v>
      </c>
      <c r="AE51">
        <f>SUMIFS(StandardName[IDinTheRanking],StandardName[StandardizedName],Analiza_wRankingach[[#This Row],[Nazwa uczelni]],StandardName[Ranking],"=ARWU")</f>
        <v>99</v>
      </c>
      <c r="AF51">
        <f>SUMIFS(StandardName[IDinTheRanking],StandardName[StandardizedName],Analiza_wRankingach[[#This Row],[Nazwa uczelni]],StandardName[Ranking],"=QS")</f>
        <v>63</v>
      </c>
      <c r="AG51">
        <f>SUMIFS(StandardName[IDinTheRanking],StandardName[StandardizedName],Analiza_wRankingach[[#This Row],[Nazwa uczelni]],StandardName[Ranking],"=Webometrics")</f>
        <v>80</v>
      </c>
      <c r="AH51">
        <f>SUM(Analiza_wRankingach[[#This Row],[THE_ID]:[Webometrics_ID]])</f>
        <v>303</v>
      </c>
      <c r="AI51" t="str">
        <f>IF(Analiza_wRankingach[[#This Row],[LiczbaWystąpień]]&gt;=T52,"OK","UWAGA")</f>
        <v>OK</v>
      </c>
    </row>
    <row r="52" spans="1:35" x14ac:dyDescent="0.45">
      <c r="A52">
        <v>50</v>
      </c>
      <c r="B52" t="str">
        <f>Analiza_wRankingach[[#This Row],[Nazwa uczelni]]</f>
        <v>University of Zurich</v>
      </c>
      <c r="C52">
        <f>Analiza_wRankingach[[#This Row],[WartośćKontrolna]]</f>
        <v>316</v>
      </c>
      <c r="D52">
        <f>Analiza_wRankingach[[#This Row],[THE_RV]]</f>
        <v>82</v>
      </c>
      <c r="E52">
        <f>Analiza_wRankingach[[#This Row],[ARWU_RV]]</f>
        <v>59</v>
      </c>
      <c r="F52">
        <f>Analiza_wRankingach[[#This Row],[QS_RV]]</f>
        <v>83</v>
      </c>
      <c r="G52">
        <f>Analiza_wRankingach[[#This Row],[Webometrics_RV]]</f>
        <v>92</v>
      </c>
      <c r="I52" t="s">
        <v>561</v>
      </c>
      <c r="J52">
        <v>50</v>
      </c>
      <c r="K52" t="s">
        <v>561</v>
      </c>
      <c r="L52">
        <v>50</v>
      </c>
      <c r="M52" t="s">
        <v>848</v>
      </c>
      <c r="O52" t="s">
        <v>425</v>
      </c>
      <c r="P52">
        <f>IF(SUMIFS(StandardName[IDinTheRanking],StandardName[StandardizedName],Analiza_wRankingach[[#This Row],[Nazwa uczelni]],StandardName[Ranking],"=THE")&gt;0,1,0)</f>
        <v>1</v>
      </c>
      <c r="Q52">
        <f>IF(SUMIFS(StandardName[IDinTheRanking],StandardName[StandardizedName],Analiza_wRankingach[[#This Row],[Nazwa uczelni]],StandardName[Ranking],"=ARWU")&gt;0,1,0)</f>
        <v>1</v>
      </c>
      <c r="R52">
        <f>IF(SUMIFS(StandardName[IDinTheRanking],StandardName[StandardizedName],Analiza_wRankingach[[#This Row],[Nazwa uczelni]],StandardName[Ranking],"=QS")&gt;0,1,0)</f>
        <v>1</v>
      </c>
      <c r="S52">
        <f>IF(SUMIFS(StandardName[IDinTheRanking],StandardName[StandardizedName],Analiza_wRankingach[[#This Row],[Nazwa uczelni]],StandardName[Ranking],"=Webometrics")&gt;0,1,0)</f>
        <v>1</v>
      </c>
      <c r="T52">
        <f>SUM(Analiza_wRankingach[[#This Row],[THE]:[Webometrics]])</f>
        <v>4</v>
      </c>
      <c r="U52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82</v>
      </c>
      <c r="V52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59</v>
      </c>
      <c r="W52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83</v>
      </c>
      <c r="X52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92</v>
      </c>
      <c r="Y52">
        <f>SUM(Analiza_wRankingach[[#This Row],[THE_RV1000]:[Webometrics_RV1000]])</f>
        <v>316</v>
      </c>
      <c r="Z52">
        <f>SUMIFS(StandardName[RankValueInTheRanking],StandardName[StandardizedName],Analiza_wRankingach[[#This Row],[Nazwa uczelni]],StandardName[Ranking],"=THE")</f>
        <v>82</v>
      </c>
      <c r="AA52">
        <f>SUMIFS(StandardName[RankValueInTheRanking],StandardName[StandardizedName],Analiza_wRankingach[[#This Row],[Nazwa uczelni]],StandardName[Ranking],"=ARWU")</f>
        <v>59</v>
      </c>
      <c r="AB52">
        <f>SUMIFS(StandardName[RankValueInTheRanking],StandardName[StandardizedName],Analiza_wRankingach[[#This Row],[Nazwa uczelni]],StandardName[Ranking],"=QS")</f>
        <v>83</v>
      </c>
      <c r="AC52">
        <f>SUMIFS(StandardName[RankValueInTheRanking],StandardName[StandardizedName],Analiza_wRankingach[[#This Row],[Nazwa uczelni]],StandardName[Ranking],"=Webometrics")</f>
        <v>92</v>
      </c>
      <c r="AD52">
        <f>SUMIFS(StandardName[IDinTheRanking],StandardName[StandardizedName],Analiza_wRankingach[[#This Row],[Nazwa uczelni]],StandardName[Ranking],"=THE")</f>
        <v>84</v>
      </c>
      <c r="AE52">
        <f>SUMIFS(StandardName[IDinTheRanking],StandardName[StandardizedName],Analiza_wRankingach[[#This Row],[Nazwa uczelni]],StandardName[Ranking],"=ARWU")</f>
        <v>59</v>
      </c>
      <c r="AF52">
        <f>SUMIFS(StandardName[IDinTheRanking],StandardName[StandardizedName],Analiza_wRankingach[[#This Row],[Nazwa uczelni]],StandardName[Ranking],"=QS")</f>
        <v>84</v>
      </c>
      <c r="AG52">
        <f>SUMIFS(StandardName[IDinTheRanking],StandardName[StandardizedName],Analiza_wRankingach[[#This Row],[Nazwa uczelni]],StandardName[Ranking],"=Webometrics")</f>
        <v>92</v>
      </c>
      <c r="AH52">
        <f>SUM(Analiza_wRankingach[[#This Row],[THE_ID]:[Webometrics_ID]])</f>
        <v>319</v>
      </c>
      <c r="AI52" t="str">
        <f>IF(Analiza_wRankingach[[#This Row],[LiczbaWystąpień]]&gt;=T53,"OK","UWAGA")</f>
        <v>OK</v>
      </c>
    </row>
    <row r="53" spans="1:35" x14ac:dyDescent="0.45">
      <c r="A53">
        <v>51</v>
      </c>
      <c r="B53" t="str">
        <f>Analiza_wRankingach[[#This Row],[Nazwa uczelni]]</f>
        <v>University of Science and Technology of China</v>
      </c>
      <c r="C53">
        <f>Analiza_wRankingach[[#This Row],[WartośćKontrolna]]</f>
        <v>325</v>
      </c>
      <c r="D53">
        <f>Analiza_wRankingach[[#This Row],[THE_RV]]</f>
        <v>74</v>
      </c>
      <c r="E53">
        <f>Analiza_wRankingach[[#This Row],[ARWU_RV]]</f>
        <v>62</v>
      </c>
      <c r="F53">
        <f>Analiza_wRankingach[[#This Row],[QS_RV]]</f>
        <v>94</v>
      </c>
      <c r="G53">
        <f>Analiza_wRankingach[[#This Row],[Webometrics_RV]]</f>
        <v>95</v>
      </c>
      <c r="I53" t="s">
        <v>563</v>
      </c>
      <c r="J53">
        <v>51</v>
      </c>
      <c r="K53" t="s">
        <v>563</v>
      </c>
      <c r="L53">
        <v>51</v>
      </c>
      <c r="M53" t="s">
        <v>848</v>
      </c>
      <c r="O53" t="s">
        <v>385</v>
      </c>
      <c r="P53">
        <f>IF(SUMIFS(StandardName[IDinTheRanking],StandardName[StandardizedName],Analiza_wRankingach[[#This Row],[Nazwa uczelni]],StandardName[Ranking],"=THE")&gt;0,1,0)</f>
        <v>1</v>
      </c>
      <c r="Q53">
        <f>IF(SUMIFS(StandardName[IDinTheRanking],StandardName[StandardizedName],Analiza_wRankingach[[#This Row],[Nazwa uczelni]],StandardName[Ranking],"=ARWU")&gt;0,1,0)</f>
        <v>1</v>
      </c>
      <c r="R53">
        <f>IF(SUMIFS(StandardName[IDinTheRanking],StandardName[StandardizedName],Analiza_wRankingach[[#This Row],[Nazwa uczelni]],StandardName[Ranking],"=QS")&gt;0,1,0)</f>
        <v>1</v>
      </c>
      <c r="S53">
        <f>IF(SUMIFS(StandardName[IDinTheRanking],StandardName[StandardizedName],Analiza_wRankingach[[#This Row],[Nazwa uczelni]],StandardName[Ranking],"=Webometrics")&gt;0,1,0)</f>
        <v>1</v>
      </c>
      <c r="T53">
        <f>SUM(Analiza_wRankingach[[#This Row],[THE]:[Webometrics]])</f>
        <v>4</v>
      </c>
      <c r="U53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74</v>
      </c>
      <c r="V53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62</v>
      </c>
      <c r="W53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94</v>
      </c>
      <c r="X53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95</v>
      </c>
      <c r="Y53">
        <f>SUM(Analiza_wRankingach[[#This Row],[THE_RV1000]:[Webometrics_RV1000]])</f>
        <v>325</v>
      </c>
      <c r="Z53">
        <f>SUMIFS(StandardName[RankValueInTheRanking],StandardName[StandardizedName],Analiza_wRankingach[[#This Row],[Nazwa uczelni]],StandardName[Ranking],"=THE")</f>
        <v>74</v>
      </c>
      <c r="AA53">
        <f>SUMIFS(StandardName[RankValueInTheRanking],StandardName[StandardizedName],Analiza_wRankingach[[#This Row],[Nazwa uczelni]],StandardName[Ranking],"=ARWU")</f>
        <v>62</v>
      </c>
      <c r="AB53">
        <f>SUMIFS(StandardName[RankValueInTheRanking],StandardName[StandardizedName],Analiza_wRankingach[[#This Row],[Nazwa uczelni]],StandardName[Ranking],"=QS")</f>
        <v>94</v>
      </c>
      <c r="AC53">
        <f>SUMIFS(StandardName[RankValueInTheRanking],StandardName[StandardizedName],Analiza_wRankingach[[#This Row],[Nazwa uczelni]],StandardName[Ranking],"=Webometrics")</f>
        <v>95</v>
      </c>
      <c r="AD53">
        <f>SUMIFS(StandardName[IDinTheRanking],StandardName[StandardizedName],Analiza_wRankingach[[#This Row],[Nazwa uczelni]],StandardName[Ranking],"=THE")</f>
        <v>74</v>
      </c>
      <c r="AE53">
        <f>SUMIFS(StandardName[IDinTheRanking],StandardName[StandardizedName],Analiza_wRankingach[[#This Row],[Nazwa uczelni]],StandardName[Ranking],"=ARWU")</f>
        <v>63</v>
      </c>
      <c r="AF53">
        <f>SUMIFS(StandardName[IDinTheRanking],StandardName[StandardizedName],Analiza_wRankingach[[#This Row],[Nazwa uczelni]],StandardName[Ranking],"=QS")</f>
        <v>94</v>
      </c>
      <c r="AG53">
        <f>SUMIFS(StandardName[IDinTheRanking],StandardName[StandardizedName],Analiza_wRankingach[[#This Row],[Nazwa uczelni]],StandardName[Ranking],"=Webometrics")</f>
        <v>95</v>
      </c>
      <c r="AH53">
        <f>SUM(Analiza_wRankingach[[#This Row],[THE_ID]:[Webometrics_ID]])</f>
        <v>326</v>
      </c>
      <c r="AI53" t="str">
        <f>IF(Analiza_wRankingach[[#This Row],[LiczbaWystąpień]]&gt;=T54,"OK","UWAGA")</f>
        <v>OK</v>
      </c>
    </row>
    <row r="54" spans="1:35" x14ac:dyDescent="0.45">
      <c r="A54">
        <v>52</v>
      </c>
      <c r="B54" t="str">
        <f>Analiza_wRankingach[[#This Row],[Nazwa uczelni]]</f>
        <v>Université PSL</v>
      </c>
      <c r="C54">
        <f>Analiza_wRankingach[[#This Row],[WartośćKontrolna]]</f>
        <v>363</v>
      </c>
      <c r="D54">
        <f>Analiza_wRankingach[[#This Row],[THE_RV]]</f>
        <v>47</v>
      </c>
      <c r="E54">
        <f>Analiza_wRankingach[[#This Row],[ARWU_RV]]</f>
        <v>40</v>
      </c>
      <c r="F54">
        <f>Analiza_wRankingach[[#This Row],[QS_RV]]</f>
        <v>26</v>
      </c>
      <c r="G54">
        <f>Analiza_wRankingach[[#This Row],[Webometrics_RV]]</f>
        <v>0</v>
      </c>
      <c r="I54" t="s">
        <v>565</v>
      </c>
      <c r="J54">
        <v>52</v>
      </c>
      <c r="K54" t="s">
        <v>565</v>
      </c>
      <c r="L54">
        <v>52</v>
      </c>
      <c r="M54" t="s">
        <v>848</v>
      </c>
      <c r="O54" t="s">
        <v>663</v>
      </c>
      <c r="P54">
        <f>IF(SUMIFS(StandardName[IDinTheRanking],StandardName[StandardizedName],Analiza_wRankingach[[#This Row],[Nazwa uczelni]],StandardName[Ranking],"=THE")&gt;0,1,0)</f>
        <v>1</v>
      </c>
      <c r="Q54">
        <f>IF(SUMIFS(StandardName[IDinTheRanking],StandardName[StandardizedName],Analiza_wRankingach[[#This Row],[Nazwa uczelni]],StandardName[Ranking],"=ARWU")&gt;0,1,0)</f>
        <v>1</v>
      </c>
      <c r="R54">
        <f>IF(SUMIFS(StandardName[IDinTheRanking],StandardName[StandardizedName],Analiza_wRankingach[[#This Row],[Nazwa uczelni]],StandardName[Ranking],"=QS")&gt;0,1,0)</f>
        <v>1</v>
      </c>
      <c r="S54">
        <f>IF(SUMIFS(StandardName[IDinTheRanking],StandardName[StandardizedName],Analiza_wRankingach[[#This Row],[Nazwa uczelni]],StandardName[Ranking],"=Webometrics")&gt;0,1,0)</f>
        <v>0</v>
      </c>
      <c r="T54">
        <f>SUM(Analiza_wRankingach[[#This Row],[THE]:[Webometrics]])</f>
        <v>3</v>
      </c>
      <c r="U54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47</v>
      </c>
      <c r="V54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40</v>
      </c>
      <c r="W54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26</v>
      </c>
      <c r="X54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250</v>
      </c>
      <c r="Y54">
        <f>SUM(Analiza_wRankingach[[#This Row],[THE_RV1000]:[Webometrics_RV1000]])</f>
        <v>363</v>
      </c>
      <c r="Z54">
        <f>SUMIFS(StandardName[RankValueInTheRanking],StandardName[StandardizedName],Analiza_wRankingach[[#This Row],[Nazwa uczelni]],StandardName[Ranking],"=THE")</f>
        <v>47</v>
      </c>
      <c r="AA54">
        <f>SUMIFS(StandardName[RankValueInTheRanking],StandardName[StandardizedName],Analiza_wRankingach[[#This Row],[Nazwa uczelni]],StandardName[Ranking],"=ARWU")</f>
        <v>40</v>
      </c>
      <c r="AB54">
        <f>SUMIFS(StandardName[RankValueInTheRanking],StandardName[StandardizedName],Analiza_wRankingach[[#This Row],[Nazwa uczelni]],StandardName[Ranking],"=QS")</f>
        <v>26</v>
      </c>
      <c r="AC54">
        <f>SUMIFS(StandardName[RankValueInTheRanking],StandardName[StandardizedName],Analiza_wRankingach[[#This Row],[Nazwa uczelni]],StandardName[Ranking],"=Webometrics")</f>
        <v>0</v>
      </c>
      <c r="AD54">
        <f>SUMIFS(StandardName[IDinTheRanking],StandardName[StandardizedName],Analiza_wRankingach[[#This Row],[Nazwa uczelni]],StandardName[Ranking],"=THE")</f>
        <v>47</v>
      </c>
      <c r="AE54">
        <f>SUMIFS(StandardName[IDinTheRanking],StandardName[StandardizedName],Analiza_wRankingach[[#This Row],[Nazwa uczelni]],StandardName[Ranking],"=ARWU")</f>
        <v>40</v>
      </c>
      <c r="AF54">
        <f>SUMIFS(StandardName[IDinTheRanking],StandardName[StandardizedName],Analiza_wRankingach[[#This Row],[Nazwa uczelni]],StandardName[Ranking],"=QS")</f>
        <v>26</v>
      </c>
      <c r="AG54">
        <f>SUMIFS(StandardName[IDinTheRanking],StandardName[StandardizedName],Analiza_wRankingach[[#This Row],[Nazwa uczelni]],StandardName[Ranking],"=Webometrics")</f>
        <v>0</v>
      </c>
      <c r="AH54">
        <f>SUM(Analiza_wRankingach[[#This Row],[THE_ID]:[Webometrics_ID]])</f>
        <v>113</v>
      </c>
      <c r="AI54" t="str">
        <f>IF(Analiza_wRankingach[[#This Row],[LiczbaWystąpień]]&gt;=T55,"OK","UWAGA")</f>
        <v>OK</v>
      </c>
    </row>
    <row r="55" spans="1:35" x14ac:dyDescent="0.45">
      <c r="A55">
        <v>53</v>
      </c>
      <c r="B55" t="str">
        <f>Analiza_wRankingach[[#This Row],[Nazwa uczelni]]</f>
        <v>Washington University in St Louis</v>
      </c>
      <c r="C55">
        <f>Analiza_wRankingach[[#This Row],[WartośćKontrolna]]</f>
        <v>376</v>
      </c>
      <c r="D55">
        <f>Analiza_wRankingach[[#This Row],[THE_RV]]</f>
        <v>57</v>
      </c>
      <c r="E55">
        <f>Analiza_wRankingach[[#This Row],[ARWU_RV]]</f>
        <v>27</v>
      </c>
      <c r="F55">
        <f>Analiza_wRankingach[[#This Row],[QS_RV]]</f>
        <v>0</v>
      </c>
      <c r="G55">
        <f>Analiza_wRankingach[[#This Row],[Webometrics_RV]]</f>
        <v>42</v>
      </c>
      <c r="I55" t="s">
        <v>347</v>
      </c>
      <c r="J55">
        <v>53</v>
      </c>
      <c r="K55" t="s">
        <v>347</v>
      </c>
      <c r="L55">
        <v>53</v>
      </c>
      <c r="M55" t="s">
        <v>848</v>
      </c>
      <c r="O55" t="s">
        <v>313</v>
      </c>
      <c r="P55">
        <f>IF(SUMIFS(StandardName[IDinTheRanking],StandardName[StandardizedName],Analiza_wRankingach[[#This Row],[Nazwa uczelni]],StandardName[Ranking],"=THE")&gt;0,1,0)</f>
        <v>1</v>
      </c>
      <c r="Q55">
        <f>IF(SUMIFS(StandardName[IDinTheRanking],StandardName[StandardizedName],Analiza_wRankingach[[#This Row],[Nazwa uczelni]],StandardName[Ranking],"=ARWU")&gt;0,1,0)</f>
        <v>1</v>
      </c>
      <c r="R55">
        <f>IF(SUMIFS(StandardName[IDinTheRanking],StandardName[StandardizedName],Analiza_wRankingach[[#This Row],[Nazwa uczelni]],StandardName[Ranking],"=QS")&gt;0,1,0)</f>
        <v>0</v>
      </c>
      <c r="S55">
        <f>IF(SUMIFS(StandardName[IDinTheRanking],StandardName[StandardizedName],Analiza_wRankingach[[#This Row],[Nazwa uczelni]],StandardName[Ranking],"=Webometrics")&gt;0,1,0)</f>
        <v>1</v>
      </c>
      <c r="T55">
        <f>SUM(Analiza_wRankingach[[#This Row],[THE]:[Webometrics]])</f>
        <v>3</v>
      </c>
      <c r="U55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57</v>
      </c>
      <c r="V55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27</v>
      </c>
      <c r="W55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250</v>
      </c>
      <c r="X55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42</v>
      </c>
      <c r="Y55">
        <f>SUM(Analiza_wRankingach[[#This Row],[THE_RV1000]:[Webometrics_RV1000]])</f>
        <v>376</v>
      </c>
      <c r="Z55">
        <f>SUMIFS(StandardName[RankValueInTheRanking],StandardName[StandardizedName],Analiza_wRankingach[[#This Row],[Nazwa uczelni]],StandardName[Ranking],"=THE")</f>
        <v>57</v>
      </c>
      <c r="AA55">
        <f>SUMIFS(StandardName[RankValueInTheRanking],StandardName[StandardizedName],Analiza_wRankingach[[#This Row],[Nazwa uczelni]],StandardName[Ranking],"=ARWU")</f>
        <v>27</v>
      </c>
      <c r="AB55">
        <f>SUMIFS(StandardName[RankValueInTheRanking],StandardName[StandardizedName],Analiza_wRankingach[[#This Row],[Nazwa uczelni]],StandardName[Ranking],"=QS")</f>
        <v>0</v>
      </c>
      <c r="AC55">
        <f>SUMIFS(StandardName[RankValueInTheRanking],StandardName[StandardizedName],Analiza_wRankingach[[#This Row],[Nazwa uczelni]],StandardName[Ranking],"=Webometrics")</f>
        <v>42</v>
      </c>
      <c r="AD55">
        <f>SUMIFS(StandardName[IDinTheRanking],StandardName[StandardizedName],Analiza_wRankingach[[#This Row],[Nazwa uczelni]],StandardName[Ranking],"=THE")</f>
        <v>57</v>
      </c>
      <c r="AE55">
        <f>SUMIFS(StandardName[IDinTheRanking],StandardName[StandardizedName],Analiza_wRankingach[[#This Row],[Nazwa uczelni]],StandardName[Ranking],"=ARWU")</f>
        <v>27</v>
      </c>
      <c r="AF55">
        <f>SUMIFS(StandardName[IDinTheRanking],StandardName[StandardizedName],Analiza_wRankingach[[#This Row],[Nazwa uczelni]],StandardName[Ranking],"=QS")</f>
        <v>0</v>
      </c>
      <c r="AG55">
        <f>SUMIFS(StandardName[IDinTheRanking],StandardName[StandardizedName],Analiza_wRankingach[[#This Row],[Nazwa uczelni]],StandardName[Ranking],"=Webometrics")</f>
        <v>42</v>
      </c>
      <c r="AH55">
        <f>SUM(Analiza_wRankingach[[#This Row],[THE_ID]:[Webometrics_ID]])</f>
        <v>126</v>
      </c>
      <c r="AI55" t="str">
        <f>IF(Analiza_wRankingach[[#This Row],[LiczbaWystąpień]]&gt;=T56,"OK","UWAGA")</f>
        <v>OK</v>
      </c>
    </row>
    <row r="56" spans="1:35" x14ac:dyDescent="0.45">
      <c r="A56">
        <v>54</v>
      </c>
      <c r="B56" t="str">
        <f>Analiza_wRankingach[[#This Row],[Nazwa uczelni]]</f>
        <v>University of North Carolina at Chapel Hill</v>
      </c>
      <c r="C56">
        <f>Analiza_wRankingach[[#This Row],[WartośćKontrolna]]</f>
        <v>376</v>
      </c>
      <c r="D56">
        <f>Analiza_wRankingach[[#This Row],[THE_RV]]</f>
        <v>69</v>
      </c>
      <c r="E56">
        <f>Analiza_wRankingach[[#This Row],[ARWU_RV]]</f>
        <v>29</v>
      </c>
      <c r="F56">
        <f>Analiza_wRankingach[[#This Row],[QS_RV]]</f>
        <v>0</v>
      </c>
      <c r="G56">
        <f>Analiza_wRankingach[[#This Row],[Webometrics_RV]]</f>
        <v>28</v>
      </c>
      <c r="I56" t="s">
        <v>286</v>
      </c>
      <c r="J56">
        <v>54</v>
      </c>
      <c r="K56" t="s">
        <v>286</v>
      </c>
      <c r="L56">
        <v>54</v>
      </c>
      <c r="M56" t="s">
        <v>848</v>
      </c>
      <c r="O56" t="s">
        <v>366</v>
      </c>
      <c r="P56">
        <f>IF(SUMIFS(StandardName[IDinTheRanking],StandardName[StandardizedName],Analiza_wRankingach[[#This Row],[Nazwa uczelni]],StandardName[Ranking],"=THE")&gt;0,1,0)</f>
        <v>1</v>
      </c>
      <c r="Q56">
        <f>IF(SUMIFS(StandardName[IDinTheRanking],StandardName[StandardizedName],Analiza_wRankingach[[#This Row],[Nazwa uczelni]],StandardName[Ranking],"=ARWU")&gt;0,1,0)</f>
        <v>1</v>
      </c>
      <c r="R56">
        <f>IF(SUMIFS(StandardName[IDinTheRanking],StandardName[StandardizedName],Analiza_wRankingach[[#This Row],[Nazwa uczelni]],StandardName[Ranking],"=QS")&gt;0,1,0)</f>
        <v>0</v>
      </c>
      <c r="S56">
        <f>IF(SUMIFS(StandardName[IDinTheRanking],StandardName[StandardizedName],Analiza_wRankingach[[#This Row],[Nazwa uczelni]],StandardName[Ranking],"=Webometrics")&gt;0,1,0)</f>
        <v>1</v>
      </c>
      <c r="T56">
        <f>SUM(Analiza_wRankingach[[#This Row],[THE]:[Webometrics]])</f>
        <v>3</v>
      </c>
      <c r="U56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69</v>
      </c>
      <c r="V56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29</v>
      </c>
      <c r="W56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250</v>
      </c>
      <c r="X56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28</v>
      </c>
      <c r="Y56">
        <f>SUM(Analiza_wRankingach[[#This Row],[THE_RV1000]:[Webometrics_RV1000]])</f>
        <v>376</v>
      </c>
      <c r="Z56">
        <f>SUMIFS(StandardName[RankValueInTheRanking],StandardName[StandardizedName],Analiza_wRankingach[[#This Row],[Nazwa uczelni]],StandardName[Ranking],"=THE")</f>
        <v>69</v>
      </c>
      <c r="AA56">
        <f>SUMIFS(StandardName[RankValueInTheRanking],StandardName[StandardizedName],Analiza_wRankingach[[#This Row],[Nazwa uczelni]],StandardName[Ranking],"=ARWU")</f>
        <v>29</v>
      </c>
      <c r="AB56">
        <f>SUMIFS(StandardName[RankValueInTheRanking],StandardName[StandardizedName],Analiza_wRankingach[[#This Row],[Nazwa uczelni]],StandardName[Ranking],"=QS")</f>
        <v>0</v>
      </c>
      <c r="AC56">
        <f>SUMIFS(StandardName[RankValueInTheRanking],StandardName[StandardizedName],Analiza_wRankingach[[#This Row],[Nazwa uczelni]],StandardName[Ranking],"=Webometrics")</f>
        <v>28</v>
      </c>
      <c r="AD56">
        <f>SUMIFS(StandardName[IDinTheRanking],StandardName[StandardizedName],Analiza_wRankingach[[#This Row],[Nazwa uczelni]],StandardName[Ranking],"=THE")</f>
        <v>69</v>
      </c>
      <c r="AE56">
        <f>SUMIFS(StandardName[IDinTheRanking],StandardName[StandardizedName],Analiza_wRankingach[[#This Row],[Nazwa uczelni]],StandardName[Ranking],"=ARWU")</f>
        <v>29</v>
      </c>
      <c r="AF56">
        <f>SUMIFS(StandardName[IDinTheRanking],StandardName[StandardizedName],Analiza_wRankingach[[#This Row],[Nazwa uczelni]],StandardName[Ranking],"=QS")</f>
        <v>0</v>
      </c>
      <c r="AG56">
        <f>SUMIFS(StandardName[IDinTheRanking],StandardName[StandardizedName],Analiza_wRankingach[[#This Row],[Nazwa uczelni]],StandardName[Ranking],"=Webometrics")</f>
        <v>28</v>
      </c>
      <c r="AH56">
        <f>SUM(Analiza_wRankingach[[#This Row],[THE_ID]:[Webometrics_ID]])</f>
        <v>126</v>
      </c>
      <c r="AI56" t="str">
        <f>IF(Analiza_wRankingach[[#This Row],[LiczbaWystąpień]]&gt;=T57,"OK","UWAGA")</f>
        <v>OK</v>
      </c>
    </row>
    <row r="57" spans="1:35" x14ac:dyDescent="0.45">
      <c r="A57">
        <v>55</v>
      </c>
      <c r="B57" t="str">
        <f>Analiza_wRankingach[[#This Row],[Nazwa uczelni]]</f>
        <v>Carnegie Mellon University</v>
      </c>
      <c r="C57">
        <f>Analiza_wRankingach[[#This Row],[WartośćKontrolna]]</f>
        <v>379</v>
      </c>
      <c r="D57">
        <f>Analiza_wRankingach[[#This Row],[THE_RV]]</f>
        <v>28</v>
      </c>
      <c r="E57">
        <f>Analiza_wRankingach[[#This Row],[ARWU_RV]]</f>
        <v>0</v>
      </c>
      <c r="F57">
        <f>Analiza_wRankingach[[#This Row],[QS_RV]]</f>
        <v>52</v>
      </c>
      <c r="G57">
        <f>Analiza_wRankingach[[#This Row],[Webometrics_RV]]</f>
        <v>49</v>
      </c>
      <c r="I57" t="s">
        <v>352</v>
      </c>
      <c r="J57">
        <v>55</v>
      </c>
      <c r="K57" t="s">
        <v>352</v>
      </c>
      <c r="L57">
        <v>54</v>
      </c>
      <c r="M57" t="s">
        <v>848</v>
      </c>
      <c r="O57" t="s">
        <v>162</v>
      </c>
      <c r="P57">
        <f>IF(SUMIFS(StandardName[IDinTheRanking],StandardName[StandardizedName],Analiza_wRankingach[[#This Row],[Nazwa uczelni]],StandardName[Ranking],"=THE")&gt;0,1,0)</f>
        <v>1</v>
      </c>
      <c r="Q57">
        <f>IF(SUMIFS(StandardName[IDinTheRanking],StandardName[StandardizedName],Analiza_wRankingach[[#This Row],[Nazwa uczelni]],StandardName[Ranking],"=ARWU")&gt;0,1,0)</f>
        <v>0</v>
      </c>
      <c r="R57">
        <f>IF(SUMIFS(StandardName[IDinTheRanking],StandardName[StandardizedName],Analiza_wRankingach[[#This Row],[Nazwa uczelni]],StandardName[Ranking],"=QS")&gt;0,1,0)</f>
        <v>1</v>
      </c>
      <c r="S57">
        <f>IF(SUMIFS(StandardName[IDinTheRanking],StandardName[StandardizedName],Analiza_wRankingach[[#This Row],[Nazwa uczelni]],StandardName[Ranking],"=Webometrics")&gt;0,1,0)</f>
        <v>1</v>
      </c>
      <c r="T57">
        <f>SUM(Analiza_wRankingach[[#This Row],[THE]:[Webometrics]])</f>
        <v>3</v>
      </c>
      <c r="U57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28</v>
      </c>
      <c r="V57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250</v>
      </c>
      <c r="W57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52</v>
      </c>
      <c r="X57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49</v>
      </c>
      <c r="Y57">
        <f>SUM(Analiza_wRankingach[[#This Row],[THE_RV1000]:[Webometrics_RV1000]])</f>
        <v>379</v>
      </c>
      <c r="Z57">
        <f>SUMIFS(StandardName[RankValueInTheRanking],StandardName[StandardizedName],Analiza_wRankingach[[#This Row],[Nazwa uczelni]],StandardName[Ranking],"=THE")</f>
        <v>28</v>
      </c>
      <c r="AA57">
        <f>SUMIFS(StandardName[RankValueInTheRanking],StandardName[StandardizedName],Analiza_wRankingach[[#This Row],[Nazwa uczelni]],StandardName[Ranking],"=ARWU")</f>
        <v>0</v>
      </c>
      <c r="AB57">
        <f>SUMIFS(StandardName[RankValueInTheRanking],StandardName[StandardizedName],Analiza_wRankingach[[#This Row],[Nazwa uczelni]],StandardName[Ranking],"=QS")</f>
        <v>52</v>
      </c>
      <c r="AC57">
        <f>SUMIFS(StandardName[RankValueInTheRanking],StandardName[StandardizedName],Analiza_wRankingach[[#This Row],[Nazwa uczelni]],StandardName[Ranking],"=Webometrics")</f>
        <v>49</v>
      </c>
      <c r="AD57">
        <f>SUMIFS(StandardName[IDinTheRanking],StandardName[StandardizedName],Analiza_wRankingach[[#This Row],[Nazwa uczelni]],StandardName[Ranking],"=THE")</f>
        <v>28</v>
      </c>
      <c r="AE57">
        <f>SUMIFS(StandardName[IDinTheRanking],StandardName[StandardizedName],Analiza_wRankingach[[#This Row],[Nazwa uczelni]],StandardName[Ranking],"=ARWU")</f>
        <v>0</v>
      </c>
      <c r="AF57">
        <f>SUMIFS(StandardName[IDinTheRanking],StandardName[StandardizedName],Analiza_wRankingach[[#This Row],[Nazwa uczelni]],StandardName[Ranking],"=QS")</f>
        <v>52</v>
      </c>
      <c r="AG57">
        <f>SUMIFS(StandardName[IDinTheRanking],StandardName[StandardizedName],Analiza_wRankingach[[#This Row],[Nazwa uczelni]],StandardName[Ranking],"=Webometrics")</f>
        <v>49</v>
      </c>
      <c r="AH57">
        <f>SUM(Analiza_wRankingach[[#This Row],[THE_ID]:[Webometrics_ID]])</f>
        <v>129</v>
      </c>
      <c r="AI57" t="str">
        <f>IF(Analiza_wRankingach[[#This Row],[LiczbaWystąpień]]&gt;=T58,"OK","UWAGA")</f>
        <v>OK</v>
      </c>
    </row>
    <row r="58" spans="1:35" x14ac:dyDescent="0.45">
      <c r="A58">
        <v>56</v>
      </c>
      <c r="B58" t="str">
        <f>Analiza_wRankingach[[#This Row],[Nazwa uczelni]]</f>
        <v>Technical University of Munich</v>
      </c>
      <c r="C58">
        <f>Analiza_wRankingach[[#This Row],[WartośćKontrolna]]</f>
        <v>385</v>
      </c>
      <c r="D58">
        <f>Analiza_wRankingach[[#This Row],[THE_RV]]</f>
        <v>30</v>
      </c>
      <c r="E58">
        <f>Analiza_wRankingach[[#This Row],[ARWU_RV]]</f>
        <v>56</v>
      </c>
      <c r="F58">
        <f>Analiza_wRankingach[[#This Row],[QS_RV]]</f>
        <v>49</v>
      </c>
      <c r="G58">
        <f>Analiza_wRankingach[[#This Row],[Webometrics_RV]]</f>
        <v>0</v>
      </c>
      <c r="I58" t="s">
        <v>173</v>
      </c>
      <c r="J58">
        <v>56</v>
      </c>
      <c r="K58" t="s">
        <v>173</v>
      </c>
      <c r="L58">
        <v>56</v>
      </c>
      <c r="M58" t="s">
        <v>848</v>
      </c>
      <c r="O58" t="s">
        <v>173</v>
      </c>
      <c r="P58">
        <f>IF(SUMIFS(StandardName[IDinTheRanking],StandardName[StandardizedName],Analiza_wRankingach[[#This Row],[Nazwa uczelni]],StandardName[Ranking],"=THE")&gt;0,1,0)</f>
        <v>1</v>
      </c>
      <c r="Q58">
        <f>IF(SUMIFS(StandardName[IDinTheRanking],StandardName[StandardizedName],Analiza_wRankingach[[#This Row],[Nazwa uczelni]],StandardName[Ranking],"=ARWU")&gt;0,1,0)</f>
        <v>1</v>
      </c>
      <c r="R58">
        <f>IF(SUMIFS(StandardName[IDinTheRanking],StandardName[StandardizedName],Analiza_wRankingach[[#This Row],[Nazwa uczelni]],StandardName[Ranking],"=QS")&gt;0,1,0)</f>
        <v>1</v>
      </c>
      <c r="S58">
        <f>IF(SUMIFS(StandardName[IDinTheRanking],StandardName[StandardizedName],Analiza_wRankingach[[#This Row],[Nazwa uczelni]],StandardName[Ranking],"=Webometrics")&gt;0,1,0)</f>
        <v>0</v>
      </c>
      <c r="T58">
        <f>SUM(Analiza_wRankingach[[#This Row],[THE]:[Webometrics]])</f>
        <v>3</v>
      </c>
      <c r="U58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30</v>
      </c>
      <c r="V58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56</v>
      </c>
      <c r="W58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49</v>
      </c>
      <c r="X58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250</v>
      </c>
      <c r="Y58">
        <f>SUM(Analiza_wRankingach[[#This Row],[THE_RV1000]:[Webometrics_RV1000]])</f>
        <v>385</v>
      </c>
      <c r="Z58">
        <f>SUMIFS(StandardName[RankValueInTheRanking],StandardName[StandardizedName],Analiza_wRankingach[[#This Row],[Nazwa uczelni]],StandardName[Ranking],"=THE")</f>
        <v>30</v>
      </c>
      <c r="AA58">
        <f>SUMIFS(StandardName[RankValueInTheRanking],StandardName[StandardizedName],Analiza_wRankingach[[#This Row],[Nazwa uczelni]],StandardName[Ranking],"=ARWU")</f>
        <v>56</v>
      </c>
      <c r="AB58">
        <f>SUMIFS(StandardName[RankValueInTheRanking],StandardName[StandardizedName],Analiza_wRankingach[[#This Row],[Nazwa uczelni]],StandardName[Ranking],"=QS")</f>
        <v>49</v>
      </c>
      <c r="AC58">
        <f>SUMIFS(StandardName[RankValueInTheRanking],StandardName[StandardizedName],Analiza_wRankingach[[#This Row],[Nazwa uczelni]],StandardName[Ranking],"=Webometrics")</f>
        <v>0</v>
      </c>
      <c r="AD58">
        <f>SUMIFS(StandardName[IDinTheRanking],StandardName[StandardizedName],Analiza_wRankingach[[#This Row],[Nazwa uczelni]],StandardName[Ranking],"=THE")</f>
        <v>30</v>
      </c>
      <c r="AE58">
        <f>SUMIFS(StandardName[IDinTheRanking],StandardName[StandardizedName],Analiza_wRankingach[[#This Row],[Nazwa uczelni]],StandardName[Ranking],"=ARWU")</f>
        <v>56</v>
      </c>
      <c r="AF58">
        <f>SUMIFS(StandardName[IDinTheRanking],StandardName[StandardizedName],Analiza_wRankingach[[#This Row],[Nazwa uczelni]],StandardName[Ranking],"=QS")</f>
        <v>49</v>
      </c>
      <c r="AG58">
        <f>SUMIFS(StandardName[IDinTheRanking],StandardName[StandardizedName],Analiza_wRankingach[[#This Row],[Nazwa uczelni]],StandardName[Ranking],"=Webometrics")</f>
        <v>0</v>
      </c>
      <c r="AH58">
        <f>SUM(Analiza_wRankingach[[#This Row],[THE_ID]:[Webometrics_ID]])</f>
        <v>135</v>
      </c>
      <c r="AI58" t="str">
        <f>IF(Analiza_wRankingach[[#This Row],[LiczbaWystąpień]]&gt;=T59,"OK","UWAGA")</f>
        <v>OK</v>
      </c>
    </row>
    <row r="59" spans="1:35" x14ac:dyDescent="0.45">
      <c r="A59">
        <v>57</v>
      </c>
      <c r="B59" t="str">
        <f>Analiza_wRankingach[[#This Row],[Nazwa uczelni]]</f>
        <v>Kyoto University</v>
      </c>
      <c r="C59">
        <f>Analiza_wRankingach[[#This Row],[WartośćKontrolna]]</f>
        <v>395</v>
      </c>
      <c r="D59">
        <f>Analiza_wRankingach[[#This Row],[THE_RV]]</f>
        <v>68</v>
      </c>
      <c r="E59">
        <f>Analiza_wRankingach[[#This Row],[ARWU_RV]]</f>
        <v>41</v>
      </c>
      <c r="F59">
        <f>Analiza_wRankingach[[#This Row],[QS_RV]]</f>
        <v>36</v>
      </c>
      <c r="G59">
        <f>Analiza_wRankingach[[#This Row],[Webometrics_RV]]</f>
        <v>0</v>
      </c>
      <c r="I59" t="s">
        <v>345</v>
      </c>
      <c r="J59">
        <v>57</v>
      </c>
      <c r="K59" t="s">
        <v>829</v>
      </c>
      <c r="L59">
        <v>57</v>
      </c>
      <c r="M59" t="s">
        <v>848</v>
      </c>
      <c r="O59" t="s">
        <v>360</v>
      </c>
      <c r="P59">
        <f>IF(SUMIFS(StandardName[IDinTheRanking],StandardName[StandardizedName],Analiza_wRankingach[[#This Row],[Nazwa uczelni]],StandardName[Ranking],"=THE")&gt;0,1,0)</f>
        <v>1</v>
      </c>
      <c r="Q59">
        <f>IF(SUMIFS(StandardName[IDinTheRanking],StandardName[StandardizedName],Analiza_wRankingach[[#This Row],[Nazwa uczelni]],StandardName[Ranking],"=ARWU")&gt;0,1,0)</f>
        <v>1</v>
      </c>
      <c r="R59">
        <f>IF(SUMIFS(StandardName[IDinTheRanking],StandardName[StandardizedName],Analiza_wRankingach[[#This Row],[Nazwa uczelni]],StandardName[Ranking],"=QS")&gt;0,1,0)</f>
        <v>1</v>
      </c>
      <c r="S59">
        <f>IF(SUMIFS(StandardName[IDinTheRanking],StandardName[StandardizedName],Analiza_wRankingach[[#This Row],[Nazwa uczelni]],StandardName[Ranking],"=Webometrics")&gt;0,1,0)</f>
        <v>0</v>
      </c>
      <c r="T59">
        <f>SUM(Analiza_wRankingach[[#This Row],[THE]:[Webometrics]])</f>
        <v>3</v>
      </c>
      <c r="U59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68</v>
      </c>
      <c r="V59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41</v>
      </c>
      <c r="W59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36</v>
      </c>
      <c r="X59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250</v>
      </c>
      <c r="Y59">
        <f>SUM(Analiza_wRankingach[[#This Row],[THE_RV1000]:[Webometrics_RV1000]])</f>
        <v>395</v>
      </c>
      <c r="Z59">
        <f>SUMIFS(StandardName[RankValueInTheRanking],StandardName[StandardizedName],Analiza_wRankingach[[#This Row],[Nazwa uczelni]],StandardName[Ranking],"=THE")</f>
        <v>68</v>
      </c>
      <c r="AA59">
        <f>SUMIFS(StandardName[RankValueInTheRanking],StandardName[StandardizedName],Analiza_wRankingach[[#This Row],[Nazwa uczelni]],StandardName[Ranking],"=ARWU")</f>
        <v>41</v>
      </c>
      <c r="AB59">
        <f>SUMIFS(StandardName[RankValueInTheRanking],StandardName[StandardizedName],Analiza_wRankingach[[#This Row],[Nazwa uczelni]],StandardName[Ranking],"=QS")</f>
        <v>36</v>
      </c>
      <c r="AC59">
        <f>SUMIFS(StandardName[RankValueInTheRanking],StandardName[StandardizedName],Analiza_wRankingach[[#This Row],[Nazwa uczelni]],StandardName[Ranking],"=Webometrics")</f>
        <v>0</v>
      </c>
      <c r="AD59">
        <f>SUMIFS(StandardName[IDinTheRanking],StandardName[StandardizedName],Analiza_wRankingach[[#This Row],[Nazwa uczelni]],StandardName[Ranking],"=THE")</f>
        <v>68</v>
      </c>
      <c r="AE59">
        <f>SUMIFS(StandardName[IDinTheRanking],StandardName[StandardizedName],Analiza_wRankingach[[#This Row],[Nazwa uczelni]],StandardName[Ranking],"=ARWU")</f>
        <v>42</v>
      </c>
      <c r="AF59">
        <f>SUMIFS(StandardName[IDinTheRanking],StandardName[StandardizedName],Analiza_wRankingach[[#This Row],[Nazwa uczelni]],StandardName[Ranking],"=QS")</f>
        <v>36</v>
      </c>
      <c r="AG59">
        <f>SUMIFS(StandardName[IDinTheRanking],StandardName[StandardizedName],Analiza_wRankingach[[#This Row],[Nazwa uczelni]],StandardName[Ranking],"=Webometrics")</f>
        <v>0</v>
      </c>
      <c r="AH59">
        <f>SUM(Analiza_wRankingach[[#This Row],[THE_ID]:[Webometrics_ID]])</f>
        <v>146</v>
      </c>
      <c r="AI59" t="str">
        <f>IF(Analiza_wRankingach[[#This Row],[LiczbaWystąpień]]&gt;=T60,"OK","UWAGA")</f>
        <v>OK</v>
      </c>
    </row>
    <row r="60" spans="1:35" x14ac:dyDescent="0.45">
      <c r="A60">
        <v>58</v>
      </c>
      <c r="B60" t="str">
        <f>Analiza_wRankingach[[#This Row],[Nazwa uczelni]]</f>
        <v>École Polytechnique Fédérale de Lausanne</v>
      </c>
      <c r="C60">
        <f>Analiza_wRankingach[[#This Row],[WartośćKontrolna]]</f>
        <v>397</v>
      </c>
      <c r="D60">
        <f>Analiza_wRankingach[[#This Row],[THE_RV]]</f>
        <v>41</v>
      </c>
      <c r="E60">
        <f>Analiza_wRankingach[[#This Row],[ARWU_RV]]</f>
        <v>0</v>
      </c>
      <c r="F60">
        <f>Analiza_wRankingach[[#This Row],[QS_RV]]</f>
        <v>16</v>
      </c>
      <c r="G60">
        <f>Analiza_wRankingach[[#This Row],[Webometrics_RV]]</f>
        <v>90</v>
      </c>
      <c r="I60" t="s">
        <v>570</v>
      </c>
      <c r="J60">
        <v>58</v>
      </c>
      <c r="K60" t="s">
        <v>570</v>
      </c>
      <c r="L60">
        <v>57</v>
      </c>
      <c r="M60" t="s">
        <v>848</v>
      </c>
      <c r="O60" t="s">
        <v>230</v>
      </c>
      <c r="P60">
        <f>IF(SUMIFS(StandardName[IDinTheRanking],StandardName[StandardizedName],Analiza_wRankingach[[#This Row],[Nazwa uczelni]],StandardName[Ranking],"=THE")&gt;0,1,0)</f>
        <v>1</v>
      </c>
      <c r="Q60">
        <f>IF(SUMIFS(StandardName[IDinTheRanking],StandardName[StandardizedName],Analiza_wRankingach[[#This Row],[Nazwa uczelni]],StandardName[Ranking],"=ARWU")&gt;0,1,0)</f>
        <v>0</v>
      </c>
      <c r="R60">
        <f>IF(SUMIFS(StandardName[IDinTheRanking],StandardName[StandardizedName],Analiza_wRankingach[[#This Row],[Nazwa uczelni]],StandardName[Ranking],"=QS")&gt;0,1,0)</f>
        <v>1</v>
      </c>
      <c r="S60">
        <f>IF(SUMIFS(StandardName[IDinTheRanking],StandardName[StandardizedName],Analiza_wRankingach[[#This Row],[Nazwa uczelni]],StandardName[Ranking],"=Webometrics")&gt;0,1,0)</f>
        <v>1</v>
      </c>
      <c r="T60">
        <f>SUM(Analiza_wRankingach[[#This Row],[THE]:[Webometrics]])</f>
        <v>3</v>
      </c>
      <c r="U60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41</v>
      </c>
      <c r="V60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250</v>
      </c>
      <c r="W60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16</v>
      </c>
      <c r="X60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90</v>
      </c>
      <c r="Y60">
        <f>SUM(Analiza_wRankingach[[#This Row],[THE_RV1000]:[Webometrics_RV1000]])</f>
        <v>397</v>
      </c>
      <c r="Z60">
        <f>SUMIFS(StandardName[RankValueInTheRanking],StandardName[StandardizedName],Analiza_wRankingach[[#This Row],[Nazwa uczelni]],StandardName[Ranking],"=THE")</f>
        <v>41</v>
      </c>
      <c r="AA60">
        <f>SUMIFS(StandardName[RankValueInTheRanking],StandardName[StandardizedName],Analiza_wRankingach[[#This Row],[Nazwa uczelni]],StandardName[Ranking],"=ARWU")</f>
        <v>0</v>
      </c>
      <c r="AB60">
        <f>SUMIFS(StandardName[RankValueInTheRanking],StandardName[StandardizedName],Analiza_wRankingach[[#This Row],[Nazwa uczelni]],StandardName[Ranking],"=QS")</f>
        <v>16</v>
      </c>
      <c r="AC60">
        <f>SUMIFS(StandardName[RankValueInTheRanking],StandardName[StandardizedName],Analiza_wRankingach[[#This Row],[Nazwa uczelni]],StandardName[Ranking],"=Webometrics")</f>
        <v>90</v>
      </c>
      <c r="AD60">
        <f>SUMIFS(StandardName[IDinTheRanking],StandardName[StandardizedName],Analiza_wRankingach[[#This Row],[Nazwa uczelni]],StandardName[Ranking],"=THE")</f>
        <v>41</v>
      </c>
      <c r="AE60">
        <f>SUMIFS(StandardName[IDinTheRanking],StandardName[StandardizedName],Analiza_wRankingach[[#This Row],[Nazwa uczelni]],StandardName[Ranking],"=ARWU")</f>
        <v>0</v>
      </c>
      <c r="AF60">
        <f>SUMIFS(StandardName[IDinTheRanking],StandardName[StandardizedName],Analiza_wRankingach[[#This Row],[Nazwa uczelni]],StandardName[Ranking],"=QS")</f>
        <v>16</v>
      </c>
      <c r="AG60">
        <f>SUMIFS(StandardName[IDinTheRanking],StandardName[StandardizedName],Analiza_wRankingach[[#This Row],[Nazwa uczelni]],StandardName[Ranking],"=Webometrics")</f>
        <v>90</v>
      </c>
      <c r="AH60">
        <f>SUM(Analiza_wRankingach[[#This Row],[THE_ID]:[Webometrics_ID]])</f>
        <v>147</v>
      </c>
      <c r="AI60" t="str">
        <f>IF(Analiza_wRankingach[[#This Row],[LiczbaWystąpień]]&gt;=T61,"OK","UWAGA")</f>
        <v>OK</v>
      </c>
    </row>
    <row r="61" spans="1:35" x14ac:dyDescent="0.45">
      <c r="A61">
        <v>59</v>
      </c>
      <c r="B61" t="str">
        <f>Analiza_wRankingach[[#This Row],[Nazwa uczelni]]</f>
        <v>University of Southern California</v>
      </c>
      <c r="C61">
        <f>Analiza_wRankingach[[#This Row],[WartośćKontrolna]]</f>
        <v>399</v>
      </c>
      <c r="D61">
        <f>Analiza_wRankingach[[#This Row],[THE_RV]]</f>
        <v>65</v>
      </c>
      <c r="E61">
        <f>Analiza_wRankingach[[#This Row],[ARWU_RV]]</f>
        <v>53</v>
      </c>
      <c r="F61">
        <f>Analiza_wRankingach[[#This Row],[QS_RV]]</f>
        <v>0</v>
      </c>
      <c r="G61">
        <f>Analiza_wRankingach[[#This Row],[Webometrics_RV]]</f>
        <v>31</v>
      </c>
      <c r="I61" t="s">
        <v>425</v>
      </c>
      <c r="J61">
        <v>59</v>
      </c>
      <c r="K61" t="s">
        <v>425</v>
      </c>
      <c r="L61">
        <v>59</v>
      </c>
      <c r="M61" t="s">
        <v>848</v>
      </c>
      <c r="O61" t="s">
        <v>347</v>
      </c>
      <c r="P61">
        <f>IF(SUMIFS(StandardName[IDinTheRanking],StandardName[StandardizedName],Analiza_wRankingach[[#This Row],[Nazwa uczelni]],StandardName[Ranking],"=THE")&gt;0,1,0)</f>
        <v>1</v>
      </c>
      <c r="Q61">
        <f>IF(SUMIFS(StandardName[IDinTheRanking],StandardName[StandardizedName],Analiza_wRankingach[[#This Row],[Nazwa uczelni]],StandardName[Ranking],"=ARWU")&gt;0,1,0)</f>
        <v>1</v>
      </c>
      <c r="R61">
        <f>IF(SUMIFS(StandardName[IDinTheRanking],StandardName[StandardizedName],Analiza_wRankingach[[#This Row],[Nazwa uczelni]],StandardName[Ranking],"=QS")&gt;0,1,0)</f>
        <v>0</v>
      </c>
      <c r="S61">
        <f>IF(SUMIFS(StandardName[IDinTheRanking],StandardName[StandardizedName],Analiza_wRankingach[[#This Row],[Nazwa uczelni]],StandardName[Ranking],"=Webometrics")&gt;0,1,0)</f>
        <v>1</v>
      </c>
      <c r="T61">
        <f>SUM(Analiza_wRankingach[[#This Row],[THE]:[Webometrics]])</f>
        <v>3</v>
      </c>
      <c r="U61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65</v>
      </c>
      <c r="V61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53</v>
      </c>
      <c r="W61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250</v>
      </c>
      <c r="X61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31</v>
      </c>
      <c r="Y61">
        <f>SUM(Analiza_wRankingach[[#This Row],[THE_RV1000]:[Webometrics_RV1000]])</f>
        <v>399</v>
      </c>
      <c r="Z61">
        <f>SUMIFS(StandardName[RankValueInTheRanking],StandardName[StandardizedName],Analiza_wRankingach[[#This Row],[Nazwa uczelni]],StandardName[Ranking],"=THE")</f>
        <v>65</v>
      </c>
      <c r="AA61">
        <f>SUMIFS(StandardName[RankValueInTheRanking],StandardName[StandardizedName],Analiza_wRankingach[[#This Row],[Nazwa uczelni]],StandardName[Ranking],"=ARWU")</f>
        <v>53</v>
      </c>
      <c r="AB61">
        <f>SUMIFS(StandardName[RankValueInTheRanking],StandardName[StandardizedName],Analiza_wRankingach[[#This Row],[Nazwa uczelni]],StandardName[Ranking],"=QS")</f>
        <v>0</v>
      </c>
      <c r="AC61">
        <f>SUMIFS(StandardName[RankValueInTheRanking],StandardName[StandardizedName],Analiza_wRankingach[[#This Row],[Nazwa uczelni]],StandardName[Ranking],"=Webometrics")</f>
        <v>31</v>
      </c>
      <c r="AD61">
        <f>SUMIFS(StandardName[IDinTheRanking],StandardName[StandardizedName],Analiza_wRankingach[[#This Row],[Nazwa uczelni]],StandardName[Ranking],"=THE")</f>
        <v>65</v>
      </c>
      <c r="AE61">
        <f>SUMIFS(StandardName[IDinTheRanking],StandardName[StandardizedName],Analiza_wRankingach[[#This Row],[Nazwa uczelni]],StandardName[Ranking],"=ARWU")</f>
        <v>53</v>
      </c>
      <c r="AF61">
        <f>SUMIFS(StandardName[IDinTheRanking],StandardName[StandardizedName],Analiza_wRankingach[[#This Row],[Nazwa uczelni]],StandardName[Ranking],"=QS")</f>
        <v>0</v>
      </c>
      <c r="AG61">
        <f>SUMIFS(StandardName[IDinTheRanking],StandardName[StandardizedName],Analiza_wRankingach[[#This Row],[Nazwa uczelni]],StandardName[Ranking],"=Webometrics")</f>
        <v>31</v>
      </c>
      <c r="AH61">
        <f>SUM(Analiza_wRankingach[[#This Row],[THE_ID]:[Webometrics_ID]])</f>
        <v>149</v>
      </c>
      <c r="AI61" t="str">
        <f>IF(Analiza_wRankingach[[#This Row],[LiczbaWystąpień]]&gt;=T62,"OK","UWAGA")</f>
        <v>OK</v>
      </c>
    </row>
    <row r="62" spans="1:35" x14ac:dyDescent="0.45">
      <c r="A62">
        <v>60</v>
      </c>
      <c r="B62" t="str">
        <f>Analiza_wRankingach[[#This Row],[Nazwa uczelni]]</f>
        <v>Fudan University</v>
      </c>
      <c r="C62">
        <f>Analiza_wRankingach[[#This Row],[WartośćKontrolna]]</f>
        <v>402</v>
      </c>
      <c r="D62">
        <f>Analiza_wRankingach[[#This Row],[THE_RV]]</f>
        <v>51</v>
      </c>
      <c r="E62">
        <f>Analiza_wRankingach[[#This Row],[ARWU_RV]]</f>
        <v>67</v>
      </c>
      <c r="F62">
        <f>Analiza_wRankingach[[#This Row],[QS_RV]]</f>
        <v>34</v>
      </c>
      <c r="G62">
        <f>Analiza_wRankingach[[#This Row],[Webometrics_RV]]</f>
        <v>0</v>
      </c>
      <c r="I62" t="s">
        <v>572</v>
      </c>
      <c r="J62">
        <v>60</v>
      </c>
      <c r="K62" t="s">
        <v>572</v>
      </c>
      <c r="L62">
        <v>60</v>
      </c>
      <c r="M62" t="s">
        <v>848</v>
      </c>
      <c r="O62" t="s">
        <v>282</v>
      </c>
      <c r="P62">
        <f>IF(SUMIFS(StandardName[IDinTheRanking],StandardName[StandardizedName],Analiza_wRankingach[[#This Row],[Nazwa uczelni]],StandardName[Ranking],"=THE")&gt;0,1,0)</f>
        <v>1</v>
      </c>
      <c r="Q62">
        <f>IF(SUMIFS(StandardName[IDinTheRanking],StandardName[StandardizedName],Analiza_wRankingach[[#This Row],[Nazwa uczelni]],StandardName[Ranking],"=ARWU")&gt;0,1,0)</f>
        <v>1</v>
      </c>
      <c r="R62">
        <f>IF(SUMIFS(StandardName[IDinTheRanking],StandardName[StandardizedName],Analiza_wRankingach[[#This Row],[Nazwa uczelni]],StandardName[Ranking],"=QS")&gt;0,1,0)</f>
        <v>1</v>
      </c>
      <c r="S62">
        <f>IF(SUMIFS(StandardName[IDinTheRanking],StandardName[StandardizedName],Analiza_wRankingach[[#This Row],[Nazwa uczelni]],StandardName[Ranking],"=Webometrics")&gt;0,1,0)</f>
        <v>0</v>
      </c>
      <c r="T62">
        <f>SUM(Analiza_wRankingach[[#This Row],[THE]:[Webometrics]])</f>
        <v>3</v>
      </c>
      <c r="U62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51</v>
      </c>
      <c r="V62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67</v>
      </c>
      <c r="W62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34</v>
      </c>
      <c r="X62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250</v>
      </c>
      <c r="Y62">
        <f>SUM(Analiza_wRankingach[[#This Row],[THE_RV1000]:[Webometrics_RV1000]])</f>
        <v>402</v>
      </c>
      <c r="Z62">
        <f>SUMIFS(StandardName[RankValueInTheRanking],StandardName[StandardizedName],Analiza_wRankingach[[#This Row],[Nazwa uczelni]],StandardName[Ranking],"=THE")</f>
        <v>51</v>
      </c>
      <c r="AA62">
        <f>SUMIFS(StandardName[RankValueInTheRanking],StandardName[StandardizedName],Analiza_wRankingach[[#This Row],[Nazwa uczelni]],StandardName[Ranking],"=ARWU")</f>
        <v>67</v>
      </c>
      <c r="AB62">
        <f>SUMIFS(StandardName[RankValueInTheRanking],StandardName[StandardizedName],Analiza_wRankingach[[#This Row],[Nazwa uczelni]],StandardName[Ranking],"=QS")</f>
        <v>34</v>
      </c>
      <c r="AC62">
        <f>SUMIFS(StandardName[RankValueInTheRanking],StandardName[StandardizedName],Analiza_wRankingach[[#This Row],[Nazwa uczelni]],StandardName[Ranking],"=Webometrics")</f>
        <v>0</v>
      </c>
      <c r="AD62">
        <f>SUMIFS(StandardName[IDinTheRanking],StandardName[StandardizedName],Analiza_wRankingach[[#This Row],[Nazwa uczelni]],StandardName[Ranking],"=THE")</f>
        <v>51</v>
      </c>
      <c r="AE62">
        <f>SUMIFS(StandardName[IDinTheRanking],StandardName[StandardizedName],Analiza_wRankingach[[#This Row],[Nazwa uczelni]],StandardName[Ranking],"=ARWU")</f>
        <v>67</v>
      </c>
      <c r="AF62">
        <f>SUMIFS(StandardName[IDinTheRanking],StandardName[StandardizedName],Analiza_wRankingach[[#This Row],[Nazwa uczelni]],StandardName[Ranking],"=QS")</f>
        <v>34</v>
      </c>
      <c r="AG62">
        <f>SUMIFS(StandardName[IDinTheRanking],StandardName[StandardizedName],Analiza_wRankingach[[#This Row],[Nazwa uczelni]],StandardName[Ranking],"=Webometrics")</f>
        <v>0</v>
      </c>
      <c r="AH62">
        <f>SUM(Analiza_wRankingach[[#This Row],[THE_ID]:[Webometrics_ID]])</f>
        <v>152</v>
      </c>
      <c r="AI62" t="str">
        <f>IF(Analiza_wRankingach[[#This Row],[LiczbaWystąpień]]&gt;=T63,"OK","UWAGA")</f>
        <v>OK</v>
      </c>
    </row>
    <row r="63" spans="1:35" x14ac:dyDescent="0.45">
      <c r="A63">
        <v>61</v>
      </c>
      <c r="B63" t="str">
        <f>Analiza_wRankingach[[#This Row],[Nazwa uczelni]]</f>
        <v>Chinese University of Hong Kong</v>
      </c>
      <c r="C63">
        <f>Analiza_wRankingach[[#This Row],[WartośćKontrolna]]</f>
        <v>414</v>
      </c>
      <c r="D63">
        <f>Analiza_wRankingach[[#This Row],[THE_RV]]</f>
        <v>45</v>
      </c>
      <c r="E63">
        <f>Analiza_wRankingach[[#This Row],[ARWU_RV]]</f>
        <v>0</v>
      </c>
      <c r="F63">
        <f>Analiza_wRankingach[[#This Row],[QS_RV]]</f>
        <v>38</v>
      </c>
      <c r="G63">
        <f>Analiza_wRankingach[[#This Row],[Webometrics_RV]]</f>
        <v>81</v>
      </c>
      <c r="I63" t="s">
        <v>463</v>
      </c>
      <c r="J63">
        <v>61</v>
      </c>
      <c r="K63" t="s">
        <v>808</v>
      </c>
      <c r="L63">
        <v>61</v>
      </c>
      <c r="M63" t="s">
        <v>848</v>
      </c>
      <c r="O63" t="s">
        <v>250</v>
      </c>
      <c r="P63">
        <f>IF(SUMIFS(StandardName[IDinTheRanking],StandardName[StandardizedName],Analiza_wRankingach[[#This Row],[Nazwa uczelni]],StandardName[Ranking],"=THE")&gt;0,1,0)</f>
        <v>1</v>
      </c>
      <c r="Q63">
        <f>IF(SUMIFS(StandardName[IDinTheRanking],StandardName[StandardizedName],Analiza_wRankingach[[#This Row],[Nazwa uczelni]],StandardName[Ranking],"=ARWU")&gt;0,1,0)</f>
        <v>0</v>
      </c>
      <c r="R63">
        <f>IF(SUMIFS(StandardName[IDinTheRanking],StandardName[StandardizedName],Analiza_wRankingach[[#This Row],[Nazwa uczelni]],StandardName[Ranking],"=QS")&gt;0,1,0)</f>
        <v>1</v>
      </c>
      <c r="S63">
        <f>IF(SUMIFS(StandardName[IDinTheRanking],StandardName[StandardizedName],Analiza_wRankingach[[#This Row],[Nazwa uczelni]],StandardName[Ranking],"=Webometrics")&gt;0,1,0)</f>
        <v>1</v>
      </c>
      <c r="T63">
        <f>SUM(Analiza_wRankingach[[#This Row],[THE]:[Webometrics]])</f>
        <v>3</v>
      </c>
      <c r="U63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45</v>
      </c>
      <c r="V63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250</v>
      </c>
      <c r="W63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38</v>
      </c>
      <c r="X63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81</v>
      </c>
      <c r="Y63">
        <f>SUM(Analiza_wRankingach[[#This Row],[THE_RV1000]:[Webometrics_RV1000]])</f>
        <v>414</v>
      </c>
      <c r="Z63">
        <f>SUMIFS(StandardName[RankValueInTheRanking],StandardName[StandardizedName],Analiza_wRankingach[[#This Row],[Nazwa uczelni]],StandardName[Ranking],"=THE")</f>
        <v>45</v>
      </c>
      <c r="AA63">
        <f>SUMIFS(StandardName[RankValueInTheRanking],StandardName[StandardizedName],Analiza_wRankingach[[#This Row],[Nazwa uczelni]],StandardName[Ranking],"=ARWU")</f>
        <v>0</v>
      </c>
      <c r="AB63">
        <f>SUMIFS(StandardName[RankValueInTheRanking],StandardName[StandardizedName],Analiza_wRankingach[[#This Row],[Nazwa uczelni]],StandardName[Ranking],"=QS")</f>
        <v>38</v>
      </c>
      <c r="AC63">
        <f>SUMIFS(StandardName[RankValueInTheRanking],StandardName[StandardizedName],Analiza_wRankingach[[#This Row],[Nazwa uczelni]],StandardName[Ranking],"=Webometrics")</f>
        <v>81</v>
      </c>
      <c r="AD63">
        <f>SUMIFS(StandardName[IDinTheRanking],StandardName[StandardizedName],Analiza_wRankingach[[#This Row],[Nazwa uczelni]],StandardName[Ranking],"=THE")</f>
        <v>45</v>
      </c>
      <c r="AE63">
        <f>SUMIFS(StandardName[IDinTheRanking],StandardName[StandardizedName],Analiza_wRankingach[[#This Row],[Nazwa uczelni]],StandardName[Ranking],"=ARWU")</f>
        <v>0</v>
      </c>
      <c r="AF63">
        <f>SUMIFS(StandardName[IDinTheRanking],StandardName[StandardizedName],Analiza_wRankingach[[#This Row],[Nazwa uczelni]],StandardName[Ranking],"=QS")</f>
        <v>38</v>
      </c>
      <c r="AG63">
        <f>SUMIFS(StandardName[IDinTheRanking],StandardName[StandardizedName],Analiza_wRankingach[[#This Row],[Nazwa uczelni]],StandardName[Ranking],"=Webometrics")</f>
        <v>81</v>
      </c>
      <c r="AH63">
        <f>SUM(Analiza_wRankingach[[#This Row],[THE_ID]:[Webometrics_ID]])</f>
        <v>164</v>
      </c>
      <c r="AI63" t="str">
        <f>IF(Analiza_wRankingach[[#This Row],[LiczbaWystąpień]]&gt;=T64,"OK","UWAGA")</f>
        <v>OK</v>
      </c>
    </row>
    <row r="64" spans="1:35" x14ac:dyDescent="0.45">
      <c r="A64">
        <v>62</v>
      </c>
      <c r="B64" t="str">
        <f>Analiza_wRankingach[[#This Row],[Nazwa uczelni]]</f>
        <v>Université Paris-Saclay</v>
      </c>
      <c r="C64">
        <f>Analiza_wRankingach[[#This Row],[WartośćKontrolna]]</f>
        <v>428</v>
      </c>
      <c r="D64">
        <f>Analiza_wRankingach[[#This Row],[THE_RV]]</f>
        <v>93</v>
      </c>
      <c r="E64">
        <f>Analiza_wRankingach[[#This Row],[ARWU_RV]]</f>
        <v>16</v>
      </c>
      <c r="F64">
        <f>Analiza_wRankingach[[#This Row],[QS_RV]]</f>
        <v>69</v>
      </c>
      <c r="G64">
        <f>Analiza_wRankingach[[#This Row],[Webometrics_RV]]</f>
        <v>0</v>
      </c>
      <c r="I64" t="s">
        <v>594</v>
      </c>
      <c r="J64">
        <v>62</v>
      </c>
      <c r="K64" t="s">
        <v>594</v>
      </c>
      <c r="L64">
        <v>62</v>
      </c>
      <c r="M64" t="s">
        <v>848</v>
      </c>
      <c r="O64" t="s">
        <v>456</v>
      </c>
      <c r="P64">
        <f>IF(SUMIFS(StandardName[IDinTheRanking],StandardName[StandardizedName],Analiza_wRankingach[[#This Row],[Nazwa uczelni]],StandardName[Ranking],"=THE")&gt;0,1,0)</f>
        <v>1</v>
      </c>
      <c r="Q64">
        <f>IF(SUMIFS(StandardName[IDinTheRanking],StandardName[StandardizedName],Analiza_wRankingach[[#This Row],[Nazwa uczelni]],StandardName[Ranking],"=ARWU")&gt;0,1,0)</f>
        <v>1</v>
      </c>
      <c r="R64">
        <f>IF(SUMIFS(StandardName[IDinTheRanking],StandardName[StandardizedName],Analiza_wRankingach[[#This Row],[Nazwa uczelni]],StandardName[Ranking],"=QS")&gt;0,1,0)</f>
        <v>1</v>
      </c>
      <c r="S64">
        <f>IF(SUMIFS(StandardName[IDinTheRanking],StandardName[StandardizedName],Analiza_wRankingach[[#This Row],[Nazwa uczelni]],StandardName[Ranking],"=Webometrics")&gt;0,1,0)</f>
        <v>0</v>
      </c>
      <c r="T64">
        <f>SUM(Analiza_wRankingach[[#This Row],[THE]:[Webometrics]])</f>
        <v>3</v>
      </c>
      <c r="U64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93</v>
      </c>
      <c r="V64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16</v>
      </c>
      <c r="W64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69</v>
      </c>
      <c r="X64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250</v>
      </c>
      <c r="Y64">
        <f>SUM(Analiza_wRankingach[[#This Row],[THE_RV1000]:[Webometrics_RV1000]])</f>
        <v>428</v>
      </c>
      <c r="Z64">
        <f>SUMIFS(StandardName[RankValueInTheRanking],StandardName[StandardizedName],Analiza_wRankingach[[#This Row],[Nazwa uczelni]],StandardName[Ranking],"=THE")</f>
        <v>93</v>
      </c>
      <c r="AA64">
        <f>SUMIFS(StandardName[RankValueInTheRanking],StandardName[StandardizedName],Analiza_wRankingach[[#This Row],[Nazwa uczelni]],StandardName[Ranking],"=ARWU")</f>
        <v>16</v>
      </c>
      <c r="AB64">
        <f>SUMIFS(StandardName[RankValueInTheRanking],StandardName[StandardizedName],Analiza_wRankingach[[#This Row],[Nazwa uczelni]],StandardName[Ranking],"=QS")</f>
        <v>69</v>
      </c>
      <c r="AC64">
        <f>SUMIFS(StandardName[RankValueInTheRanking],StandardName[StandardizedName],Analiza_wRankingach[[#This Row],[Nazwa uczelni]],StandardName[Ranking],"=Webometrics")</f>
        <v>0</v>
      </c>
      <c r="AD64">
        <f>SUMIFS(StandardName[IDinTheRanking],StandardName[StandardizedName],Analiza_wRankingach[[#This Row],[Nazwa uczelni]],StandardName[Ranking],"=THE")</f>
        <v>93</v>
      </c>
      <c r="AE64">
        <f>SUMIFS(StandardName[IDinTheRanking],StandardName[StandardizedName],Analiza_wRankingach[[#This Row],[Nazwa uczelni]],StandardName[Ranking],"=ARWU")</f>
        <v>16</v>
      </c>
      <c r="AF64">
        <f>SUMIFS(StandardName[IDinTheRanking],StandardName[StandardizedName],Analiza_wRankingach[[#This Row],[Nazwa uczelni]],StandardName[Ranking],"=QS")</f>
        <v>69</v>
      </c>
      <c r="AG64">
        <f>SUMIFS(StandardName[IDinTheRanking],StandardName[StandardizedName],Analiza_wRankingach[[#This Row],[Nazwa uczelni]],StandardName[Ranking],"=Webometrics")</f>
        <v>0</v>
      </c>
      <c r="AH64">
        <f>SUM(Analiza_wRankingach[[#This Row],[THE_ID]:[Webometrics_ID]])</f>
        <v>178</v>
      </c>
      <c r="AI64" t="str">
        <f>IF(Analiza_wRankingach[[#This Row],[LiczbaWystąpień]]&gt;=T65,"OK","UWAGA")</f>
        <v>OK</v>
      </c>
    </row>
    <row r="65" spans="1:35" x14ac:dyDescent="0.45">
      <c r="A65">
        <v>63</v>
      </c>
      <c r="B65" t="str">
        <f>Analiza_wRankingach[[#This Row],[Nazwa uczelni]]</f>
        <v>Utrecht University</v>
      </c>
      <c r="C65">
        <f>Analiza_wRankingach[[#This Row],[WartośćKontrolna]]</f>
        <v>435</v>
      </c>
      <c r="D65">
        <f>Analiza_wRankingach[[#This Row],[THE_RV]]</f>
        <v>66</v>
      </c>
      <c r="E65">
        <f>Analiza_wRankingach[[#This Row],[ARWU_RV]]</f>
        <v>54</v>
      </c>
      <c r="F65">
        <f>Analiza_wRankingach[[#This Row],[QS_RV]]</f>
        <v>0</v>
      </c>
      <c r="G65">
        <f>Analiza_wRankingach[[#This Row],[Webometrics_RV]]</f>
        <v>65</v>
      </c>
      <c r="I65" t="s">
        <v>385</v>
      </c>
      <c r="J65">
        <v>63</v>
      </c>
      <c r="K65" t="s">
        <v>385</v>
      </c>
      <c r="L65">
        <v>62</v>
      </c>
      <c r="M65" t="s">
        <v>848</v>
      </c>
      <c r="O65" t="s">
        <v>352</v>
      </c>
      <c r="P65">
        <f>IF(SUMIFS(StandardName[IDinTheRanking],StandardName[StandardizedName],Analiza_wRankingach[[#This Row],[Nazwa uczelni]],StandardName[Ranking],"=THE")&gt;0,1,0)</f>
        <v>1</v>
      </c>
      <c r="Q65">
        <f>IF(SUMIFS(StandardName[IDinTheRanking],StandardName[StandardizedName],Analiza_wRankingach[[#This Row],[Nazwa uczelni]],StandardName[Ranking],"=ARWU")&gt;0,1,0)</f>
        <v>1</v>
      </c>
      <c r="R65">
        <f>IF(SUMIFS(StandardName[IDinTheRanking],StandardName[StandardizedName],Analiza_wRankingach[[#This Row],[Nazwa uczelni]],StandardName[Ranking],"=QS")&gt;0,1,0)</f>
        <v>0</v>
      </c>
      <c r="S65">
        <f>IF(SUMIFS(StandardName[IDinTheRanking],StandardName[StandardizedName],Analiza_wRankingach[[#This Row],[Nazwa uczelni]],StandardName[Ranking],"=Webometrics")&gt;0,1,0)</f>
        <v>1</v>
      </c>
      <c r="T65">
        <f>SUM(Analiza_wRankingach[[#This Row],[THE]:[Webometrics]])</f>
        <v>3</v>
      </c>
      <c r="U65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66</v>
      </c>
      <c r="V65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54</v>
      </c>
      <c r="W65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250</v>
      </c>
      <c r="X65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65</v>
      </c>
      <c r="Y65">
        <f>SUM(Analiza_wRankingach[[#This Row],[THE_RV1000]:[Webometrics_RV1000]])</f>
        <v>435</v>
      </c>
      <c r="Z65">
        <f>SUMIFS(StandardName[RankValueInTheRanking],StandardName[StandardizedName],Analiza_wRankingach[[#This Row],[Nazwa uczelni]],StandardName[Ranking],"=THE")</f>
        <v>66</v>
      </c>
      <c r="AA65">
        <f>SUMIFS(StandardName[RankValueInTheRanking],StandardName[StandardizedName],Analiza_wRankingach[[#This Row],[Nazwa uczelni]],StandardName[Ranking],"=ARWU")</f>
        <v>54</v>
      </c>
      <c r="AB65">
        <f>SUMIFS(StandardName[RankValueInTheRanking],StandardName[StandardizedName],Analiza_wRankingach[[#This Row],[Nazwa uczelni]],StandardName[Ranking],"=QS")</f>
        <v>0</v>
      </c>
      <c r="AC65">
        <f>SUMIFS(StandardName[RankValueInTheRanking],StandardName[StandardizedName],Analiza_wRankingach[[#This Row],[Nazwa uczelni]],StandardName[Ranking],"=Webometrics")</f>
        <v>65</v>
      </c>
      <c r="AD65">
        <f>SUMIFS(StandardName[IDinTheRanking],StandardName[StandardizedName],Analiza_wRankingach[[#This Row],[Nazwa uczelni]],StandardName[Ranking],"=THE")</f>
        <v>66</v>
      </c>
      <c r="AE65">
        <f>SUMIFS(StandardName[IDinTheRanking],StandardName[StandardizedName],Analiza_wRankingach[[#This Row],[Nazwa uczelni]],StandardName[Ranking],"=ARWU")</f>
        <v>55</v>
      </c>
      <c r="AF65">
        <f>SUMIFS(StandardName[IDinTheRanking],StandardName[StandardizedName],Analiza_wRankingach[[#This Row],[Nazwa uczelni]],StandardName[Ranking],"=QS")</f>
        <v>0</v>
      </c>
      <c r="AG65">
        <f>SUMIFS(StandardName[IDinTheRanking],StandardName[StandardizedName],Analiza_wRankingach[[#This Row],[Nazwa uczelni]],StandardName[Ranking],"=Webometrics")</f>
        <v>65</v>
      </c>
      <c r="AH65">
        <f>SUM(Analiza_wRankingach[[#This Row],[THE_ID]:[Webometrics_ID]])</f>
        <v>186</v>
      </c>
      <c r="AI65" t="str">
        <f>IF(Analiza_wRankingach[[#This Row],[LiczbaWystąpień]]&gt;=T66,"OK","UWAGA")</f>
        <v>OK</v>
      </c>
    </row>
    <row r="66" spans="1:35" x14ac:dyDescent="0.45">
      <c r="A66">
        <v>64</v>
      </c>
      <c r="B66" t="str">
        <f>Analiza_wRankingach[[#This Row],[Nazwa uczelni]]</f>
        <v>Georgia Institute of Technology</v>
      </c>
      <c r="C66">
        <f>Analiza_wRankingach[[#This Row],[WartośćKontrolna]]</f>
        <v>438</v>
      </c>
      <c r="D66">
        <f>Analiza_wRankingach[[#This Row],[THE_RV]]</f>
        <v>38</v>
      </c>
      <c r="E66">
        <f>Analiza_wRankingach[[#This Row],[ARWU_RV]]</f>
        <v>0</v>
      </c>
      <c r="F66">
        <f>Analiza_wRankingach[[#This Row],[QS_RV]]</f>
        <v>88</v>
      </c>
      <c r="G66">
        <f>Analiza_wRankingach[[#This Row],[Webometrics_RV]]</f>
        <v>62</v>
      </c>
      <c r="I66" t="s">
        <v>595</v>
      </c>
      <c r="J66">
        <v>64</v>
      </c>
      <c r="K66" t="s">
        <v>810</v>
      </c>
      <c r="L66">
        <v>64</v>
      </c>
      <c r="M66" t="s">
        <v>848</v>
      </c>
      <c r="O66" t="s">
        <v>216</v>
      </c>
      <c r="P66">
        <f>IF(SUMIFS(StandardName[IDinTheRanking],StandardName[StandardizedName],Analiza_wRankingach[[#This Row],[Nazwa uczelni]],StandardName[Ranking],"=THE")&gt;0,1,0)</f>
        <v>1</v>
      </c>
      <c r="Q66">
        <f>IF(SUMIFS(StandardName[IDinTheRanking],StandardName[StandardizedName],Analiza_wRankingach[[#This Row],[Nazwa uczelni]],StandardName[Ranking],"=ARWU")&gt;0,1,0)</f>
        <v>0</v>
      </c>
      <c r="R66">
        <f>IF(SUMIFS(StandardName[IDinTheRanking],StandardName[StandardizedName],Analiza_wRankingach[[#This Row],[Nazwa uczelni]],StandardName[Ranking],"=QS")&gt;0,1,0)</f>
        <v>1</v>
      </c>
      <c r="S66">
        <f>IF(SUMIFS(StandardName[IDinTheRanking],StandardName[StandardizedName],Analiza_wRankingach[[#This Row],[Nazwa uczelni]],StandardName[Ranking],"=Webometrics")&gt;0,1,0)</f>
        <v>1</v>
      </c>
      <c r="T66">
        <f>SUM(Analiza_wRankingach[[#This Row],[THE]:[Webometrics]])</f>
        <v>3</v>
      </c>
      <c r="U66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38</v>
      </c>
      <c r="V66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250</v>
      </c>
      <c r="W66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88</v>
      </c>
      <c r="X66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62</v>
      </c>
      <c r="Y66">
        <f>SUM(Analiza_wRankingach[[#This Row],[THE_RV1000]:[Webometrics_RV1000]])</f>
        <v>438</v>
      </c>
      <c r="Z66">
        <f>SUMIFS(StandardName[RankValueInTheRanking],StandardName[StandardizedName],Analiza_wRankingach[[#This Row],[Nazwa uczelni]],StandardName[Ranking],"=THE")</f>
        <v>38</v>
      </c>
      <c r="AA66">
        <f>SUMIFS(StandardName[RankValueInTheRanking],StandardName[StandardizedName],Analiza_wRankingach[[#This Row],[Nazwa uczelni]],StandardName[Ranking],"=ARWU")</f>
        <v>0</v>
      </c>
      <c r="AB66">
        <f>SUMIFS(StandardName[RankValueInTheRanking],StandardName[StandardizedName],Analiza_wRankingach[[#This Row],[Nazwa uczelni]],StandardName[Ranking],"=QS")</f>
        <v>88</v>
      </c>
      <c r="AC66">
        <f>SUMIFS(StandardName[RankValueInTheRanking],StandardName[StandardizedName],Analiza_wRankingach[[#This Row],[Nazwa uczelni]],StandardName[Ranking],"=Webometrics")</f>
        <v>62</v>
      </c>
      <c r="AD66">
        <f>SUMIFS(StandardName[IDinTheRanking],StandardName[StandardizedName],Analiza_wRankingach[[#This Row],[Nazwa uczelni]],StandardName[Ranking],"=THE")</f>
        <v>38</v>
      </c>
      <c r="AE66">
        <f>SUMIFS(StandardName[IDinTheRanking],StandardName[StandardizedName],Analiza_wRankingach[[#This Row],[Nazwa uczelni]],StandardName[Ranking],"=ARWU")</f>
        <v>0</v>
      </c>
      <c r="AF66">
        <f>SUMIFS(StandardName[IDinTheRanking],StandardName[StandardizedName],Analiza_wRankingach[[#This Row],[Nazwa uczelni]],StandardName[Ranking],"=QS")</f>
        <v>88</v>
      </c>
      <c r="AG66">
        <f>SUMIFS(StandardName[IDinTheRanking],StandardName[StandardizedName],Analiza_wRankingach[[#This Row],[Nazwa uczelni]],StandardName[Ranking],"=Webometrics")</f>
        <v>62</v>
      </c>
      <c r="AH66">
        <f>SUM(Analiza_wRankingach[[#This Row],[THE_ID]:[Webometrics_ID]])</f>
        <v>188</v>
      </c>
      <c r="AI66" t="str">
        <f>IF(Analiza_wRankingach[[#This Row],[LiczbaWystąpień]]&gt;=T67,"OK","UWAGA")</f>
        <v>OK</v>
      </c>
    </row>
    <row r="67" spans="1:35" x14ac:dyDescent="0.45">
      <c r="A67">
        <v>65</v>
      </c>
      <c r="B67" t="str">
        <f>Analiza_wRankingach[[#This Row],[Nazwa uczelni]]</f>
        <v>University of Amsterdam</v>
      </c>
      <c r="C67">
        <f>Analiza_wRankingach[[#This Row],[WartośćKontrolna]]</f>
        <v>441</v>
      </c>
      <c r="D67">
        <f>Analiza_wRankingach[[#This Row],[THE_RV]]</f>
        <v>60</v>
      </c>
      <c r="E67">
        <f>Analiza_wRankingach[[#This Row],[ARWU_RV]]</f>
        <v>0</v>
      </c>
      <c r="F67">
        <f>Analiza_wRankingach[[#This Row],[QS_RV]]</f>
        <v>58</v>
      </c>
      <c r="G67">
        <f>Analiza_wRankingach[[#This Row],[Webometrics_RV]]</f>
        <v>73</v>
      </c>
      <c r="I67" t="s">
        <v>471</v>
      </c>
      <c r="J67">
        <v>65</v>
      </c>
      <c r="K67" t="s">
        <v>471</v>
      </c>
      <c r="L67">
        <v>64</v>
      </c>
      <c r="M67" t="s">
        <v>848</v>
      </c>
      <c r="O67" t="s">
        <v>326</v>
      </c>
      <c r="P67">
        <f>IF(SUMIFS(StandardName[IDinTheRanking],StandardName[StandardizedName],Analiza_wRankingach[[#This Row],[Nazwa uczelni]],StandardName[Ranking],"=THE")&gt;0,1,0)</f>
        <v>1</v>
      </c>
      <c r="Q67">
        <f>IF(SUMIFS(StandardName[IDinTheRanking],StandardName[StandardizedName],Analiza_wRankingach[[#This Row],[Nazwa uczelni]],StandardName[Ranking],"=ARWU")&gt;0,1,0)</f>
        <v>0</v>
      </c>
      <c r="R67">
        <f>IF(SUMIFS(StandardName[IDinTheRanking],StandardName[StandardizedName],Analiza_wRankingach[[#This Row],[Nazwa uczelni]],StandardName[Ranking],"=QS")&gt;0,1,0)</f>
        <v>1</v>
      </c>
      <c r="S67">
        <f>IF(SUMIFS(StandardName[IDinTheRanking],StandardName[StandardizedName],Analiza_wRankingach[[#This Row],[Nazwa uczelni]],StandardName[Ranking],"=Webometrics")&gt;0,1,0)</f>
        <v>1</v>
      </c>
      <c r="T67">
        <f>SUM(Analiza_wRankingach[[#This Row],[THE]:[Webometrics]])</f>
        <v>3</v>
      </c>
      <c r="U67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60</v>
      </c>
      <c r="V67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250</v>
      </c>
      <c r="W67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58</v>
      </c>
      <c r="X67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73</v>
      </c>
      <c r="Y67">
        <f>SUM(Analiza_wRankingach[[#This Row],[THE_RV1000]:[Webometrics_RV1000]])</f>
        <v>441</v>
      </c>
      <c r="Z67">
        <f>SUMIFS(StandardName[RankValueInTheRanking],StandardName[StandardizedName],Analiza_wRankingach[[#This Row],[Nazwa uczelni]],StandardName[Ranking],"=THE")</f>
        <v>60</v>
      </c>
      <c r="AA67">
        <f>SUMIFS(StandardName[RankValueInTheRanking],StandardName[StandardizedName],Analiza_wRankingach[[#This Row],[Nazwa uczelni]],StandardName[Ranking],"=ARWU")</f>
        <v>0</v>
      </c>
      <c r="AB67">
        <f>SUMIFS(StandardName[RankValueInTheRanking],StandardName[StandardizedName],Analiza_wRankingach[[#This Row],[Nazwa uczelni]],StandardName[Ranking],"=QS")</f>
        <v>58</v>
      </c>
      <c r="AC67">
        <f>SUMIFS(StandardName[RankValueInTheRanking],StandardName[StandardizedName],Analiza_wRankingach[[#This Row],[Nazwa uczelni]],StandardName[Ranking],"=Webometrics")</f>
        <v>73</v>
      </c>
      <c r="AD67">
        <f>SUMIFS(StandardName[IDinTheRanking],StandardName[StandardizedName],Analiza_wRankingach[[#This Row],[Nazwa uczelni]],StandardName[Ranking],"=THE")</f>
        <v>60</v>
      </c>
      <c r="AE67">
        <f>SUMIFS(StandardName[IDinTheRanking],StandardName[StandardizedName],Analiza_wRankingach[[#This Row],[Nazwa uczelni]],StandardName[Ranking],"=ARWU")</f>
        <v>0</v>
      </c>
      <c r="AF67">
        <f>SUMIFS(StandardName[IDinTheRanking],StandardName[StandardizedName],Analiza_wRankingach[[#This Row],[Nazwa uczelni]],StandardName[Ranking],"=QS")</f>
        <v>58</v>
      </c>
      <c r="AG67">
        <f>SUMIFS(StandardName[IDinTheRanking],StandardName[StandardizedName],Analiza_wRankingach[[#This Row],[Nazwa uczelni]],StandardName[Ranking],"=Webometrics")</f>
        <v>73</v>
      </c>
      <c r="AH67">
        <f>SUM(Analiza_wRankingach[[#This Row],[THE_ID]:[Webometrics_ID]])</f>
        <v>191</v>
      </c>
      <c r="AI67" t="str">
        <f>IF(Analiza_wRankingach[[#This Row],[LiczbaWystąpień]]&gt;=T68,"OK","UWAGA")</f>
        <v>OK</v>
      </c>
    </row>
    <row r="68" spans="1:35" x14ac:dyDescent="0.45">
      <c r="A68">
        <v>66</v>
      </c>
      <c r="B68" t="str">
        <f>Analiza_wRankingach[[#This Row],[Nazwa uczelni]]</f>
        <v>Sorbonne University</v>
      </c>
      <c r="C68">
        <f>Analiza_wRankingach[[#This Row],[WartośćKontrolna]]</f>
        <v>443</v>
      </c>
      <c r="D68">
        <f>Analiza_wRankingach[[#This Row],[THE_RV]]</f>
        <v>90</v>
      </c>
      <c r="E68">
        <f>Analiza_wRankingach[[#This Row],[ARWU_RV]]</f>
        <v>43</v>
      </c>
      <c r="F68">
        <f>Analiza_wRankingach[[#This Row],[QS_RV]]</f>
        <v>60</v>
      </c>
      <c r="G68">
        <f>Analiza_wRankingach[[#This Row],[Webometrics_RV]]</f>
        <v>0</v>
      </c>
      <c r="I68" t="s">
        <v>388</v>
      </c>
      <c r="J68">
        <v>66</v>
      </c>
      <c r="K68" t="s">
        <v>388</v>
      </c>
      <c r="L68">
        <v>66</v>
      </c>
      <c r="M68" t="s">
        <v>848</v>
      </c>
      <c r="O68" t="s">
        <v>446</v>
      </c>
      <c r="P68">
        <f>IF(SUMIFS(StandardName[IDinTheRanking],StandardName[StandardizedName],Analiza_wRankingach[[#This Row],[Nazwa uczelni]],StandardName[Ranking],"=THE")&gt;0,1,0)</f>
        <v>1</v>
      </c>
      <c r="Q68">
        <f>IF(SUMIFS(StandardName[IDinTheRanking],StandardName[StandardizedName],Analiza_wRankingach[[#This Row],[Nazwa uczelni]],StandardName[Ranking],"=ARWU")&gt;0,1,0)</f>
        <v>1</v>
      </c>
      <c r="R68">
        <f>IF(SUMIFS(StandardName[IDinTheRanking],StandardName[StandardizedName],Analiza_wRankingach[[#This Row],[Nazwa uczelni]],StandardName[Ranking],"=QS")&gt;0,1,0)</f>
        <v>1</v>
      </c>
      <c r="S68">
        <f>IF(SUMIFS(StandardName[IDinTheRanking],StandardName[StandardizedName],Analiza_wRankingach[[#This Row],[Nazwa uczelni]],StandardName[Ranking],"=Webometrics")&gt;0,1,0)</f>
        <v>0</v>
      </c>
      <c r="T68">
        <f>SUM(Analiza_wRankingach[[#This Row],[THE]:[Webometrics]])</f>
        <v>3</v>
      </c>
      <c r="U68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90</v>
      </c>
      <c r="V68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43</v>
      </c>
      <c r="W68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60</v>
      </c>
      <c r="X68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250</v>
      </c>
      <c r="Y68">
        <f>SUM(Analiza_wRankingach[[#This Row],[THE_RV1000]:[Webometrics_RV1000]])</f>
        <v>443</v>
      </c>
      <c r="Z68">
        <f>SUMIFS(StandardName[RankValueInTheRanking],StandardName[StandardizedName],Analiza_wRankingach[[#This Row],[Nazwa uczelni]],StandardName[Ranking],"=THE")</f>
        <v>90</v>
      </c>
      <c r="AA68">
        <f>SUMIFS(StandardName[RankValueInTheRanking],StandardName[StandardizedName],Analiza_wRankingach[[#This Row],[Nazwa uczelni]],StandardName[Ranking],"=ARWU")</f>
        <v>43</v>
      </c>
      <c r="AB68">
        <f>SUMIFS(StandardName[RankValueInTheRanking],StandardName[StandardizedName],Analiza_wRankingach[[#This Row],[Nazwa uczelni]],StandardName[Ranking],"=QS")</f>
        <v>60</v>
      </c>
      <c r="AC68">
        <f>SUMIFS(StandardName[RankValueInTheRanking],StandardName[StandardizedName],Analiza_wRankingach[[#This Row],[Nazwa uczelni]],StandardName[Ranking],"=Webometrics")</f>
        <v>0</v>
      </c>
      <c r="AD68">
        <f>SUMIFS(StandardName[IDinTheRanking],StandardName[StandardizedName],Analiza_wRankingach[[#This Row],[Nazwa uczelni]],StandardName[Ranking],"=THE")</f>
        <v>90</v>
      </c>
      <c r="AE68">
        <f>SUMIFS(StandardName[IDinTheRanking],StandardName[StandardizedName],Analiza_wRankingach[[#This Row],[Nazwa uczelni]],StandardName[Ranking],"=ARWU")</f>
        <v>43</v>
      </c>
      <c r="AF68">
        <f>SUMIFS(StandardName[IDinTheRanking],StandardName[StandardizedName],Analiza_wRankingach[[#This Row],[Nazwa uczelni]],StandardName[Ranking],"=QS")</f>
        <v>60</v>
      </c>
      <c r="AG68">
        <f>SUMIFS(StandardName[IDinTheRanking],StandardName[StandardizedName],Analiza_wRankingach[[#This Row],[Nazwa uczelni]],StandardName[Ranking],"=Webometrics")</f>
        <v>0</v>
      </c>
      <c r="AH68">
        <f>SUM(Analiza_wRankingach[[#This Row],[THE_ID]:[Webometrics_ID]])</f>
        <v>193</v>
      </c>
      <c r="AI68" t="str">
        <f>IF(Analiza_wRankingach[[#This Row],[LiczbaWystąpień]]&gt;=T69,"OK","UWAGA")</f>
        <v>OK</v>
      </c>
    </row>
    <row r="69" spans="1:35" x14ac:dyDescent="0.45">
      <c r="A69">
        <v>67</v>
      </c>
      <c r="B69" t="str">
        <f>Analiza_wRankingach[[#This Row],[Nazwa uczelni]]</f>
        <v>University of California Irvine</v>
      </c>
      <c r="C69">
        <f>Analiza_wRankingach[[#This Row],[WartośćKontrolna]]</f>
        <v>444</v>
      </c>
      <c r="D69">
        <f>Analiza_wRankingach[[#This Row],[THE_RV]]</f>
        <v>95</v>
      </c>
      <c r="E69">
        <f>Analiza_wRankingach[[#This Row],[ARWU_RV]]</f>
        <v>61</v>
      </c>
      <c r="F69">
        <f>Analiza_wRankingach[[#This Row],[QS_RV]]</f>
        <v>0</v>
      </c>
      <c r="G69">
        <f>Analiza_wRankingach[[#This Row],[Webometrics_RV]]</f>
        <v>38</v>
      </c>
      <c r="I69" t="s">
        <v>282</v>
      </c>
      <c r="J69">
        <v>67</v>
      </c>
      <c r="K69" t="s">
        <v>282</v>
      </c>
      <c r="L69">
        <v>67</v>
      </c>
      <c r="M69" t="s">
        <v>848</v>
      </c>
      <c r="O69" t="s">
        <v>808</v>
      </c>
      <c r="P69">
        <f>IF(SUMIFS(StandardName[IDinTheRanking],StandardName[StandardizedName],Analiza_wRankingach[[#This Row],[Nazwa uczelni]],StandardName[Ranking],"=THE")&gt;0,1,0)</f>
        <v>1</v>
      </c>
      <c r="Q69">
        <f>IF(SUMIFS(StandardName[IDinTheRanking],StandardName[StandardizedName],Analiza_wRankingach[[#This Row],[Nazwa uczelni]],StandardName[Ranking],"=ARWU")&gt;0,1,0)</f>
        <v>1</v>
      </c>
      <c r="R69">
        <f>IF(SUMIFS(StandardName[IDinTheRanking],StandardName[StandardizedName],Analiza_wRankingach[[#This Row],[Nazwa uczelni]],StandardName[Ranking],"=QS")&gt;0,1,0)</f>
        <v>0</v>
      </c>
      <c r="S69">
        <f>IF(SUMIFS(StandardName[IDinTheRanking],StandardName[StandardizedName],Analiza_wRankingach[[#This Row],[Nazwa uczelni]],StandardName[Ranking],"=Webometrics")&gt;0,1,0)</f>
        <v>1</v>
      </c>
      <c r="T69">
        <f>SUM(Analiza_wRankingach[[#This Row],[THE]:[Webometrics]])</f>
        <v>3</v>
      </c>
      <c r="U69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95</v>
      </c>
      <c r="V69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61</v>
      </c>
      <c r="W69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250</v>
      </c>
      <c r="X69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38</v>
      </c>
      <c r="Y69">
        <f>SUM(Analiza_wRankingach[[#This Row],[THE_RV1000]:[Webometrics_RV1000]])</f>
        <v>444</v>
      </c>
      <c r="Z69">
        <f>SUMIFS(StandardName[RankValueInTheRanking],StandardName[StandardizedName],Analiza_wRankingach[[#This Row],[Nazwa uczelni]],StandardName[Ranking],"=THE")</f>
        <v>95</v>
      </c>
      <c r="AA69">
        <f>SUMIFS(StandardName[RankValueInTheRanking],StandardName[StandardizedName],Analiza_wRankingach[[#This Row],[Nazwa uczelni]],StandardName[Ranking],"=ARWU")</f>
        <v>61</v>
      </c>
      <c r="AB69">
        <f>SUMIFS(StandardName[RankValueInTheRanking],StandardName[StandardizedName],Analiza_wRankingach[[#This Row],[Nazwa uczelni]],StandardName[Ranking],"=QS")</f>
        <v>0</v>
      </c>
      <c r="AC69">
        <f>SUMIFS(StandardName[RankValueInTheRanking],StandardName[StandardizedName],Analiza_wRankingach[[#This Row],[Nazwa uczelni]],StandardName[Ranking],"=Webometrics")</f>
        <v>38</v>
      </c>
      <c r="AD69">
        <f>SUMIFS(StandardName[IDinTheRanking],StandardName[StandardizedName],Analiza_wRankingach[[#This Row],[Nazwa uczelni]],StandardName[Ranking],"=THE")</f>
        <v>95</v>
      </c>
      <c r="AE69">
        <f>SUMIFS(StandardName[IDinTheRanking],StandardName[StandardizedName],Analiza_wRankingach[[#This Row],[Nazwa uczelni]],StandardName[Ranking],"=ARWU")</f>
        <v>61</v>
      </c>
      <c r="AF69">
        <f>SUMIFS(StandardName[IDinTheRanking],StandardName[StandardizedName],Analiza_wRankingach[[#This Row],[Nazwa uczelni]],StandardName[Ranking],"=QS")</f>
        <v>0</v>
      </c>
      <c r="AG69">
        <f>SUMIFS(StandardName[IDinTheRanking],StandardName[StandardizedName],Analiza_wRankingach[[#This Row],[Nazwa uczelni]],StandardName[Ranking],"=Webometrics")</f>
        <v>38</v>
      </c>
      <c r="AH69">
        <f>SUM(Analiza_wRankingach[[#This Row],[THE_ID]:[Webometrics_ID]])</f>
        <v>194</v>
      </c>
      <c r="AI69" t="str">
        <f>IF(Analiza_wRankingach[[#This Row],[LiczbaWystąpień]]&gt;=T70,"OK","UWAGA")</f>
        <v>OK</v>
      </c>
    </row>
    <row r="70" spans="1:35" x14ac:dyDescent="0.45">
      <c r="A70">
        <v>68</v>
      </c>
      <c r="B70" t="str">
        <f>Analiza_wRankingach[[#This Row],[Nazwa uczelni]]</f>
        <v>University of Copenhagen</v>
      </c>
      <c r="C70">
        <f>Analiza_wRankingach[[#This Row],[WartośćKontrolna]]</f>
        <v>445</v>
      </c>
      <c r="D70">
        <f>Analiza_wRankingach[[#This Row],[THE_RV]]</f>
        <v>0</v>
      </c>
      <c r="E70">
        <f>Analiza_wRankingach[[#This Row],[ARWU_RV]]</f>
        <v>39</v>
      </c>
      <c r="F70">
        <f>Analiza_wRankingach[[#This Row],[QS_RV]]</f>
        <v>82</v>
      </c>
      <c r="G70">
        <f>Analiza_wRankingach[[#This Row],[Webometrics_RV]]</f>
        <v>74</v>
      </c>
      <c r="I70" t="s">
        <v>598</v>
      </c>
      <c r="J70">
        <v>68</v>
      </c>
      <c r="K70" t="s">
        <v>598</v>
      </c>
      <c r="L70">
        <v>67</v>
      </c>
      <c r="M70" t="s">
        <v>848</v>
      </c>
      <c r="O70" t="s">
        <v>545</v>
      </c>
      <c r="P70">
        <f>IF(SUMIFS(StandardName[IDinTheRanking],StandardName[StandardizedName],Analiza_wRankingach[[#This Row],[Nazwa uczelni]],StandardName[Ranking],"=THE")&gt;0,1,0)</f>
        <v>0</v>
      </c>
      <c r="Q70">
        <f>IF(SUMIFS(StandardName[IDinTheRanking],StandardName[StandardizedName],Analiza_wRankingach[[#This Row],[Nazwa uczelni]],StandardName[Ranking],"=ARWU")&gt;0,1,0)</f>
        <v>1</v>
      </c>
      <c r="R70">
        <f>IF(SUMIFS(StandardName[IDinTheRanking],StandardName[StandardizedName],Analiza_wRankingach[[#This Row],[Nazwa uczelni]],StandardName[Ranking],"=QS")&gt;0,1,0)</f>
        <v>1</v>
      </c>
      <c r="S70">
        <f>IF(SUMIFS(StandardName[IDinTheRanking],StandardName[StandardizedName],Analiza_wRankingach[[#This Row],[Nazwa uczelni]],StandardName[Ranking],"=Webometrics")&gt;0,1,0)</f>
        <v>1</v>
      </c>
      <c r="T70">
        <f>SUM(Analiza_wRankingach[[#This Row],[THE]:[Webometrics]])</f>
        <v>3</v>
      </c>
      <c r="U70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250</v>
      </c>
      <c r="V70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39</v>
      </c>
      <c r="W70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82</v>
      </c>
      <c r="X70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74</v>
      </c>
      <c r="Y70">
        <f>SUM(Analiza_wRankingach[[#This Row],[THE_RV1000]:[Webometrics_RV1000]])</f>
        <v>445</v>
      </c>
      <c r="Z70">
        <f>SUMIFS(StandardName[RankValueInTheRanking],StandardName[StandardizedName],Analiza_wRankingach[[#This Row],[Nazwa uczelni]],StandardName[Ranking],"=THE")</f>
        <v>0</v>
      </c>
      <c r="AA70">
        <f>SUMIFS(StandardName[RankValueInTheRanking],StandardName[StandardizedName],Analiza_wRankingach[[#This Row],[Nazwa uczelni]],StandardName[Ranking],"=ARWU")</f>
        <v>39</v>
      </c>
      <c r="AB70">
        <f>SUMIFS(StandardName[RankValueInTheRanking],StandardName[StandardizedName],Analiza_wRankingach[[#This Row],[Nazwa uczelni]],StandardName[Ranking],"=QS")</f>
        <v>82</v>
      </c>
      <c r="AC70">
        <f>SUMIFS(StandardName[RankValueInTheRanking],StandardName[StandardizedName],Analiza_wRankingach[[#This Row],[Nazwa uczelni]],StandardName[Ranking],"=Webometrics")</f>
        <v>74</v>
      </c>
      <c r="AD70">
        <f>SUMIFS(StandardName[IDinTheRanking],StandardName[StandardizedName],Analiza_wRankingach[[#This Row],[Nazwa uczelni]],StandardName[Ranking],"=THE")</f>
        <v>0</v>
      </c>
      <c r="AE70">
        <f>SUMIFS(StandardName[IDinTheRanking],StandardName[StandardizedName],Analiza_wRankingach[[#This Row],[Nazwa uczelni]],StandardName[Ranking],"=ARWU")</f>
        <v>39</v>
      </c>
      <c r="AF70">
        <f>SUMIFS(StandardName[IDinTheRanking],StandardName[StandardizedName],Analiza_wRankingach[[#This Row],[Nazwa uczelni]],StandardName[Ranking],"=QS")</f>
        <v>82</v>
      </c>
      <c r="AG70">
        <f>SUMIFS(StandardName[IDinTheRanking],StandardName[StandardizedName],Analiza_wRankingach[[#This Row],[Nazwa uczelni]],StandardName[Ranking],"=Webometrics")</f>
        <v>74</v>
      </c>
      <c r="AH70">
        <f>SUM(Analiza_wRankingach[[#This Row],[THE_ID]:[Webometrics_ID]])</f>
        <v>195</v>
      </c>
      <c r="AI70" t="str">
        <f>IF(Analiza_wRankingach[[#This Row],[LiczbaWystąpień]]&gt;=T71,"OK","UWAGA")</f>
        <v>OK</v>
      </c>
    </row>
    <row r="71" spans="1:35" x14ac:dyDescent="0.45">
      <c r="A71">
        <v>69</v>
      </c>
      <c r="B71" t="str">
        <f>Analiza_wRankingach[[#This Row],[Nazwa uczelni]]</f>
        <v>University of California Santa Barbara</v>
      </c>
      <c r="C71">
        <f>Analiza_wRankingach[[#This Row],[WartośćKontrolna]]</f>
        <v>447</v>
      </c>
      <c r="D71">
        <f>Analiza_wRankingach[[#This Row],[THE_RV]]</f>
        <v>64</v>
      </c>
      <c r="E71">
        <f>Analiza_wRankingach[[#This Row],[ARWU_RV]]</f>
        <v>57</v>
      </c>
      <c r="F71">
        <f>Analiza_wRankingach[[#This Row],[QS_RV]]</f>
        <v>0</v>
      </c>
      <c r="G71">
        <f>Analiza_wRankingach[[#This Row],[Webometrics_RV]]</f>
        <v>76</v>
      </c>
      <c r="I71" t="s">
        <v>599</v>
      </c>
      <c r="J71">
        <v>69</v>
      </c>
      <c r="K71" t="s">
        <v>599</v>
      </c>
      <c r="L71">
        <v>69</v>
      </c>
      <c r="M71" t="s">
        <v>848</v>
      </c>
      <c r="O71" t="s">
        <v>829</v>
      </c>
      <c r="P71">
        <f>IF(SUMIFS(StandardName[IDinTheRanking],StandardName[StandardizedName],Analiza_wRankingach[[#This Row],[Nazwa uczelni]],StandardName[Ranking],"=THE")&gt;0,1,0)</f>
        <v>1</v>
      </c>
      <c r="Q71">
        <f>IF(SUMIFS(StandardName[IDinTheRanking],StandardName[StandardizedName],Analiza_wRankingach[[#This Row],[Nazwa uczelni]],StandardName[Ranking],"=ARWU")&gt;0,1,0)</f>
        <v>1</v>
      </c>
      <c r="R71">
        <f>IF(SUMIFS(StandardName[IDinTheRanking],StandardName[StandardizedName],Analiza_wRankingach[[#This Row],[Nazwa uczelni]],StandardName[Ranking],"=QS")&gt;0,1,0)</f>
        <v>0</v>
      </c>
      <c r="S71">
        <f>IF(SUMIFS(StandardName[IDinTheRanking],StandardName[StandardizedName],Analiza_wRankingach[[#This Row],[Nazwa uczelni]],StandardName[Ranking],"=Webometrics")&gt;0,1,0)</f>
        <v>1</v>
      </c>
      <c r="T71">
        <f>SUM(Analiza_wRankingach[[#This Row],[THE]:[Webometrics]])</f>
        <v>3</v>
      </c>
      <c r="U71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64</v>
      </c>
      <c r="V71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57</v>
      </c>
      <c r="W71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250</v>
      </c>
      <c r="X71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76</v>
      </c>
      <c r="Y71">
        <f>SUM(Analiza_wRankingach[[#This Row],[THE_RV1000]:[Webometrics_RV1000]])</f>
        <v>447</v>
      </c>
      <c r="Z71">
        <f>SUMIFS(StandardName[RankValueInTheRanking],StandardName[StandardizedName],Analiza_wRankingach[[#This Row],[Nazwa uczelni]],StandardName[Ranking],"=THE")</f>
        <v>64</v>
      </c>
      <c r="AA71">
        <f>SUMIFS(StandardName[RankValueInTheRanking],StandardName[StandardizedName],Analiza_wRankingach[[#This Row],[Nazwa uczelni]],StandardName[Ranking],"=ARWU")</f>
        <v>57</v>
      </c>
      <c r="AB71">
        <f>SUMIFS(StandardName[RankValueInTheRanking],StandardName[StandardizedName],Analiza_wRankingach[[#This Row],[Nazwa uczelni]],StandardName[Ranking],"=QS")</f>
        <v>0</v>
      </c>
      <c r="AC71">
        <f>SUMIFS(StandardName[RankValueInTheRanking],StandardName[StandardizedName],Analiza_wRankingach[[#This Row],[Nazwa uczelni]],StandardName[Ranking],"=Webometrics")</f>
        <v>76</v>
      </c>
      <c r="AD71">
        <f>SUMIFS(StandardName[IDinTheRanking],StandardName[StandardizedName],Analiza_wRankingach[[#This Row],[Nazwa uczelni]],StandardName[Ranking],"=THE")</f>
        <v>64</v>
      </c>
      <c r="AE71">
        <f>SUMIFS(StandardName[IDinTheRanking],StandardName[StandardizedName],Analiza_wRankingach[[#This Row],[Nazwa uczelni]],StandardName[Ranking],"=ARWU")</f>
        <v>57</v>
      </c>
      <c r="AF71">
        <f>SUMIFS(StandardName[IDinTheRanking],StandardName[StandardizedName],Analiza_wRankingach[[#This Row],[Nazwa uczelni]],StandardName[Ranking],"=QS")</f>
        <v>0</v>
      </c>
      <c r="AG71">
        <f>SUMIFS(StandardName[IDinTheRanking],StandardName[StandardizedName],Analiza_wRankingach[[#This Row],[Nazwa uczelni]],StandardName[Ranking],"=Webometrics")</f>
        <v>76</v>
      </c>
      <c r="AH71">
        <f>SUM(Analiza_wRankingach[[#This Row],[THE_ID]:[Webometrics_ID]])</f>
        <v>197</v>
      </c>
      <c r="AI71" t="str">
        <f>IF(Analiza_wRankingach[[#This Row],[LiczbaWystąpień]]&gt;=T72,"OK","UWAGA")</f>
        <v>OK</v>
      </c>
    </row>
    <row r="72" spans="1:35" x14ac:dyDescent="0.45">
      <c r="A72">
        <v>70</v>
      </c>
      <c r="B72" t="str">
        <f>Analiza_wRankingach[[#This Row],[Nazwa uczelni]]</f>
        <v>KU Leuven</v>
      </c>
      <c r="C72">
        <f>Analiza_wRankingach[[#This Row],[WartośćKontrolna]]</f>
        <v>463</v>
      </c>
      <c r="D72">
        <f>Analiza_wRankingach[[#This Row],[THE_RV]]</f>
        <v>42</v>
      </c>
      <c r="E72">
        <f>Analiza_wRankingach[[#This Row],[ARWU_RV]]</f>
        <v>95</v>
      </c>
      <c r="F72">
        <f>Analiza_wRankingach[[#This Row],[QS_RV]]</f>
        <v>76</v>
      </c>
      <c r="G72">
        <f>Analiza_wRankingach[[#This Row],[Webometrics_RV]]</f>
        <v>0</v>
      </c>
      <c r="I72" t="s">
        <v>600</v>
      </c>
      <c r="J72">
        <v>70</v>
      </c>
      <c r="K72" t="s">
        <v>600</v>
      </c>
      <c r="L72">
        <v>70</v>
      </c>
      <c r="M72" t="s">
        <v>848</v>
      </c>
      <c r="O72" t="s">
        <v>234</v>
      </c>
      <c r="P72">
        <f>IF(SUMIFS(StandardName[IDinTheRanking],StandardName[StandardizedName],Analiza_wRankingach[[#This Row],[Nazwa uczelni]],StandardName[Ranking],"=THE")&gt;0,1,0)</f>
        <v>1</v>
      </c>
      <c r="Q72">
        <f>IF(SUMIFS(StandardName[IDinTheRanking],StandardName[StandardizedName],Analiza_wRankingach[[#This Row],[Nazwa uczelni]],StandardName[Ranking],"=ARWU")&gt;0,1,0)</f>
        <v>1</v>
      </c>
      <c r="R72">
        <f>IF(SUMIFS(StandardName[IDinTheRanking],StandardName[StandardizedName],Analiza_wRankingach[[#This Row],[Nazwa uczelni]],StandardName[Ranking],"=QS")&gt;0,1,0)</f>
        <v>1</v>
      </c>
      <c r="S72">
        <f>IF(SUMIFS(StandardName[IDinTheRanking],StandardName[StandardizedName],Analiza_wRankingach[[#This Row],[Nazwa uczelni]],StandardName[Ranking],"=Webometrics")&gt;0,1,0)</f>
        <v>0</v>
      </c>
      <c r="T72">
        <f>SUM(Analiza_wRankingach[[#This Row],[THE]:[Webometrics]])</f>
        <v>3</v>
      </c>
      <c r="U72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42</v>
      </c>
      <c r="V72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95</v>
      </c>
      <c r="W72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76</v>
      </c>
      <c r="X72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250</v>
      </c>
      <c r="Y72">
        <f>SUM(Analiza_wRankingach[[#This Row],[THE_RV1000]:[Webometrics_RV1000]])</f>
        <v>463</v>
      </c>
      <c r="Z72">
        <f>SUMIFS(StandardName[RankValueInTheRanking],StandardName[StandardizedName],Analiza_wRankingach[[#This Row],[Nazwa uczelni]],StandardName[Ranking],"=THE")</f>
        <v>42</v>
      </c>
      <c r="AA72">
        <f>SUMIFS(StandardName[RankValueInTheRanking],StandardName[StandardizedName],Analiza_wRankingach[[#This Row],[Nazwa uczelni]],StandardName[Ranking],"=ARWU")</f>
        <v>95</v>
      </c>
      <c r="AB72">
        <f>SUMIFS(StandardName[RankValueInTheRanking],StandardName[StandardizedName],Analiza_wRankingach[[#This Row],[Nazwa uczelni]],StandardName[Ranking],"=QS")</f>
        <v>76</v>
      </c>
      <c r="AC72">
        <f>SUMIFS(StandardName[RankValueInTheRanking],StandardName[StandardizedName],Analiza_wRankingach[[#This Row],[Nazwa uczelni]],StandardName[Ranking],"=Webometrics")</f>
        <v>0</v>
      </c>
      <c r="AD72">
        <f>SUMIFS(StandardName[IDinTheRanking],StandardName[StandardizedName],Analiza_wRankingach[[#This Row],[Nazwa uczelni]],StandardName[Ranking],"=THE")</f>
        <v>42</v>
      </c>
      <c r="AE72">
        <f>SUMIFS(StandardName[IDinTheRanking],StandardName[StandardizedName],Analiza_wRankingach[[#This Row],[Nazwa uczelni]],StandardName[Ranking],"=ARWU")</f>
        <v>95</v>
      </c>
      <c r="AF72">
        <f>SUMIFS(StandardName[IDinTheRanking],StandardName[StandardizedName],Analiza_wRankingach[[#This Row],[Nazwa uczelni]],StandardName[Ranking],"=QS")</f>
        <v>76</v>
      </c>
      <c r="AG72">
        <f>SUMIFS(StandardName[IDinTheRanking],StandardName[StandardizedName],Analiza_wRankingach[[#This Row],[Nazwa uczelni]],StandardName[Ranking],"=Webometrics")</f>
        <v>0</v>
      </c>
      <c r="AH72">
        <f>SUM(Analiza_wRankingach[[#This Row],[THE_ID]:[Webometrics_ID]])</f>
        <v>213</v>
      </c>
      <c r="AI72" t="str">
        <f>IF(Analiza_wRankingach[[#This Row],[LiczbaWystąpień]]&gt;=T73,"OK","UWAGA")</f>
        <v>OK</v>
      </c>
    </row>
    <row r="73" spans="1:35" x14ac:dyDescent="0.45">
      <c r="A73">
        <v>71</v>
      </c>
      <c r="B73" t="str">
        <f>Analiza_wRankingach[[#This Row],[Nazwa uczelni]]</f>
        <v>University of Bristol</v>
      </c>
      <c r="C73">
        <f>Analiza_wRankingach[[#This Row],[WartośćKontrolna]]</f>
        <v>468</v>
      </c>
      <c r="D73">
        <f>Analiza_wRankingach[[#This Row],[THE_RV]]</f>
        <v>76</v>
      </c>
      <c r="E73">
        <f>Analiza_wRankingach[[#This Row],[ARWU_RV]]</f>
        <v>81</v>
      </c>
      <c r="F73">
        <f>Analiza_wRankingach[[#This Row],[QS_RV]]</f>
        <v>61</v>
      </c>
      <c r="G73">
        <f>Analiza_wRankingach[[#This Row],[Webometrics_RV]]</f>
        <v>0</v>
      </c>
      <c r="I73" t="s">
        <v>110</v>
      </c>
      <c r="J73">
        <v>71</v>
      </c>
      <c r="K73" t="s">
        <v>110</v>
      </c>
      <c r="L73">
        <v>71</v>
      </c>
      <c r="M73" t="s">
        <v>848</v>
      </c>
      <c r="O73" t="s">
        <v>392</v>
      </c>
      <c r="P73">
        <f>IF(SUMIFS(StandardName[IDinTheRanking],StandardName[StandardizedName],Analiza_wRankingach[[#This Row],[Nazwa uczelni]],StandardName[Ranking],"=THE")&gt;0,1,0)</f>
        <v>1</v>
      </c>
      <c r="Q73">
        <f>IF(SUMIFS(StandardName[IDinTheRanking],StandardName[StandardizedName],Analiza_wRankingach[[#This Row],[Nazwa uczelni]],StandardName[Ranking],"=ARWU")&gt;0,1,0)</f>
        <v>1</v>
      </c>
      <c r="R73">
        <f>IF(SUMIFS(StandardName[IDinTheRanking],StandardName[StandardizedName],Analiza_wRankingach[[#This Row],[Nazwa uczelni]],StandardName[Ranking],"=QS")&gt;0,1,0)</f>
        <v>1</v>
      </c>
      <c r="S73">
        <f>IF(SUMIFS(StandardName[IDinTheRanking],StandardName[StandardizedName],Analiza_wRankingach[[#This Row],[Nazwa uczelni]],StandardName[Ranking],"=Webometrics")&gt;0,1,0)</f>
        <v>0</v>
      </c>
      <c r="T73">
        <f>SUM(Analiza_wRankingach[[#This Row],[THE]:[Webometrics]])</f>
        <v>3</v>
      </c>
      <c r="U73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76</v>
      </c>
      <c r="V73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81</v>
      </c>
      <c r="W73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61</v>
      </c>
      <c r="X73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250</v>
      </c>
      <c r="Y73">
        <f>SUM(Analiza_wRankingach[[#This Row],[THE_RV1000]:[Webometrics_RV1000]])</f>
        <v>468</v>
      </c>
      <c r="Z73">
        <f>SUMIFS(StandardName[RankValueInTheRanking],StandardName[StandardizedName],Analiza_wRankingach[[#This Row],[Nazwa uczelni]],StandardName[Ranking],"=THE")</f>
        <v>76</v>
      </c>
      <c r="AA73">
        <f>SUMIFS(StandardName[RankValueInTheRanking],StandardName[StandardizedName],Analiza_wRankingach[[#This Row],[Nazwa uczelni]],StandardName[Ranking],"=ARWU")</f>
        <v>81</v>
      </c>
      <c r="AB73">
        <f>SUMIFS(StandardName[RankValueInTheRanking],StandardName[StandardizedName],Analiza_wRankingach[[#This Row],[Nazwa uczelni]],StandardName[Ranking],"=QS")</f>
        <v>61</v>
      </c>
      <c r="AC73">
        <f>SUMIFS(StandardName[RankValueInTheRanking],StandardName[StandardizedName],Analiza_wRankingach[[#This Row],[Nazwa uczelni]],StandardName[Ranking],"=Webometrics")</f>
        <v>0</v>
      </c>
      <c r="AD73">
        <f>SUMIFS(StandardName[IDinTheRanking],StandardName[StandardizedName],Analiza_wRankingach[[#This Row],[Nazwa uczelni]],StandardName[Ranking],"=THE")</f>
        <v>76</v>
      </c>
      <c r="AE73">
        <f>SUMIFS(StandardName[IDinTheRanking],StandardName[StandardizedName],Analiza_wRankingach[[#This Row],[Nazwa uczelni]],StandardName[Ranking],"=ARWU")</f>
        <v>81</v>
      </c>
      <c r="AF73">
        <f>SUMIFS(StandardName[IDinTheRanking],StandardName[StandardizedName],Analiza_wRankingach[[#This Row],[Nazwa uczelni]],StandardName[Ranking],"=QS")</f>
        <v>62</v>
      </c>
      <c r="AG73">
        <f>SUMIFS(StandardName[IDinTheRanking],StandardName[StandardizedName],Analiza_wRankingach[[#This Row],[Nazwa uczelni]],StandardName[Ranking],"=Webometrics")</f>
        <v>0</v>
      </c>
      <c r="AH73">
        <f>SUM(Analiza_wRankingach[[#This Row],[THE_ID]:[Webometrics_ID]])</f>
        <v>219</v>
      </c>
      <c r="AI73" t="str">
        <f>IF(Analiza_wRankingach[[#This Row],[LiczbaWystąpień]]&gt;=T74,"OK","UWAGA")</f>
        <v>OK</v>
      </c>
    </row>
    <row r="74" spans="1:35" x14ac:dyDescent="0.45">
      <c r="A74">
        <v>72</v>
      </c>
      <c r="B74" t="str">
        <f>Analiza_wRankingach[[#This Row],[Nazwa uczelni]]</f>
        <v>Vanderbilt University</v>
      </c>
      <c r="C74">
        <f>Analiza_wRankingach[[#This Row],[WartośćKontrolna]]</f>
        <v>470</v>
      </c>
      <c r="D74">
        <f>Analiza_wRankingach[[#This Row],[THE_RV]]</f>
        <v>98</v>
      </c>
      <c r="E74">
        <f>Analiza_wRankingach[[#This Row],[ARWU_RV]]</f>
        <v>64</v>
      </c>
      <c r="F74">
        <f>Analiza_wRankingach[[#This Row],[QS_RV]]</f>
        <v>0</v>
      </c>
      <c r="G74">
        <f>Analiza_wRankingach[[#This Row],[Webometrics_RV]]</f>
        <v>58</v>
      </c>
      <c r="I74" t="s">
        <v>601</v>
      </c>
      <c r="J74">
        <v>72</v>
      </c>
      <c r="K74" t="s">
        <v>601</v>
      </c>
      <c r="L74">
        <v>71</v>
      </c>
      <c r="M74" t="s">
        <v>848</v>
      </c>
      <c r="O74" t="s">
        <v>471</v>
      </c>
      <c r="P74">
        <f>IF(SUMIFS(StandardName[IDinTheRanking],StandardName[StandardizedName],Analiza_wRankingach[[#This Row],[Nazwa uczelni]],StandardName[Ranking],"=THE")&gt;0,1,0)</f>
        <v>1</v>
      </c>
      <c r="Q74">
        <f>IF(SUMIFS(StandardName[IDinTheRanking],StandardName[StandardizedName],Analiza_wRankingach[[#This Row],[Nazwa uczelni]],StandardName[Ranking],"=ARWU")&gt;0,1,0)</f>
        <v>1</v>
      </c>
      <c r="R74">
        <f>IF(SUMIFS(StandardName[IDinTheRanking],StandardName[StandardizedName],Analiza_wRankingach[[#This Row],[Nazwa uczelni]],StandardName[Ranking],"=QS")&gt;0,1,0)</f>
        <v>0</v>
      </c>
      <c r="S74">
        <f>IF(SUMIFS(StandardName[IDinTheRanking],StandardName[StandardizedName],Analiza_wRankingach[[#This Row],[Nazwa uczelni]],StandardName[Ranking],"=Webometrics")&gt;0,1,0)</f>
        <v>1</v>
      </c>
      <c r="T74">
        <f>SUM(Analiza_wRankingach[[#This Row],[THE]:[Webometrics]])</f>
        <v>3</v>
      </c>
      <c r="U74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98</v>
      </c>
      <c r="V74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64</v>
      </c>
      <c r="W74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250</v>
      </c>
      <c r="X74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58</v>
      </c>
      <c r="Y74">
        <f>SUM(Analiza_wRankingach[[#This Row],[THE_RV1000]:[Webometrics_RV1000]])</f>
        <v>470</v>
      </c>
      <c r="Z74">
        <f>SUMIFS(StandardName[RankValueInTheRanking],StandardName[StandardizedName],Analiza_wRankingach[[#This Row],[Nazwa uczelni]],StandardName[Ranking],"=THE")</f>
        <v>98</v>
      </c>
      <c r="AA74">
        <f>SUMIFS(StandardName[RankValueInTheRanking],StandardName[StandardizedName],Analiza_wRankingach[[#This Row],[Nazwa uczelni]],StandardName[Ranking],"=ARWU")</f>
        <v>64</v>
      </c>
      <c r="AB74">
        <f>SUMIFS(StandardName[RankValueInTheRanking],StandardName[StandardizedName],Analiza_wRankingach[[#This Row],[Nazwa uczelni]],StandardName[Ranking],"=QS")</f>
        <v>0</v>
      </c>
      <c r="AC74">
        <f>SUMIFS(StandardName[RankValueInTheRanking],StandardName[StandardizedName],Analiza_wRankingach[[#This Row],[Nazwa uczelni]],StandardName[Ranking],"=Webometrics")</f>
        <v>58</v>
      </c>
      <c r="AD74">
        <f>SUMIFS(StandardName[IDinTheRanking],StandardName[StandardizedName],Analiza_wRankingach[[#This Row],[Nazwa uczelni]],StandardName[Ranking],"=THE")</f>
        <v>98</v>
      </c>
      <c r="AE74">
        <f>SUMIFS(StandardName[IDinTheRanking],StandardName[StandardizedName],Analiza_wRankingach[[#This Row],[Nazwa uczelni]],StandardName[Ranking],"=ARWU")</f>
        <v>65</v>
      </c>
      <c r="AF74">
        <f>SUMIFS(StandardName[IDinTheRanking],StandardName[StandardizedName],Analiza_wRankingach[[#This Row],[Nazwa uczelni]],StandardName[Ranking],"=QS")</f>
        <v>0</v>
      </c>
      <c r="AG74">
        <f>SUMIFS(StandardName[IDinTheRanking],StandardName[StandardizedName],Analiza_wRankingach[[#This Row],[Nazwa uczelni]],StandardName[Ranking],"=Webometrics")</f>
        <v>58</v>
      </c>
      <c r="AH74">
        <f>SUM(Analiza_wRankingach[[#This Row],[THE_ID]:[Webometrics_ID]])</f>
        <v>221</v>
      </c>
      <c r="AI74" t="str">
        <f>IF(Analiza_wRankingach[[#This Row],[LiczbaWystąpień]]&gt;=T75,"OK","UWAGA")</f>
        <v>OK</v>
      </c>
    </row>
    <row r="75" spans="1:35" x14ac:dyDescent="0.45">
      <c r="A75">
        <v>73</v>
      </c>
      <c r="B75" t="str">
        <f>Analiza_wRankingach[[#This Row],[Nazwa uczelni]]</f>
        <v>Delft University of Technology</v>
      </c>
      <c r="C75">
        <f>Analiza_wRankingach[[#This Row],[WartośćKontrolna]]</f>
        <v>475</v>
      </c>
      <c r="D75">
        <f>Analiza_wRankingach[[#This Row],[THE_RV]]</f>
        <v>70</v>
      </c>
      <c r="E75">
        <f>Analiza_wRankingach[[#This Row],[ARWU_RV]]</f>
        <v>0</v>
      </c>
      <c r="F75">
        <f>Analiza_wRankingach[[#This Row],[QS_RV]]</f>
        <v>61</v>
      </c>
      <c r="G75">
        <f>Analiza_wRankingach[[#This Row],[Webometrics_RV]]</f>
        <v>94</v>
      </c>
      <c r="I75" t="s">
        <v>253</v>
      </c>
      <c r="J75">
        <v>73</v>
      </c>
      <c r="K75" t="s">
        <v>253</v>
      </c>
      <c r="L75">
        <v>73</v>
      </c>
      <c r="M75" t="s">
        <v>848</v>
      </c>
      <c r="O75" t="s">
        <v>369</v>
      </c>
      <c r="P75">
        <f>IF(SUMIFS(StandardName[IDinTheRanking],StandardName[StandardizedName],Analiza_wRankingach[[#This Row],[Nazwa uczelni]],StandardName[Ranking],"=THE")&gt;0,1,0)</f>
        <v>1</v>
      </c>
      <c r="Q75">
        <f>IF(SUMIFS(StandardName[IDinTheRanking],StandardName[StandardizedName],Analiza_wRankingach[[#This Row],[Nazwa uczelni]],StandardName[Ranking],"=ARWU")&gt;0,1,0)</f>
        <v>0</v>
      </c>
      <c r="R75">
        <f>IF(SUMIFS(StandardName[IDinTheRanking],StandardName[StandardizedName],Analiza_wRankingach[[#This Row],[Nazwa uczelni]],StandardName[Ranking],"=QS")&gt;0,1,0)</f>
        <v>1</v>
      </c>
      <c r="S75">
        <f>IF(SUMIFS(StandardName[IDinTheRanking],StandardName[StandardizedName],Analiza_wRankingach[[#This Row],[Nazwa uczelni]],StandardName[Ranking],"=Webometrics")&gt;0,1,0)</f>
        <v>1</v>
      </c>
      <c r="T75">
        <f>SUM(Analiza_wRankingach[[#This Row],[THE]:[Webometrics]])</f>
        <v>3</v>
      </c>
      <c r="U75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70</v>
      </c>
      <c r="V75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250</v>
      </c>
      <c r="W75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61</v>
      </c>
      <c r="X75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94</v>
      </c>
      <c r="Y75">
        <f>SUM(Analiza_wRankingach[[#This Row],[THE_RV1000]:[Webometrics_RV1000]])</f>
        <v>475</v>
      </c>
      <c r="Z75">
        <f>SUMIFS(StandardName[RankValueInTheRanking],StandardName[StandardizedName],Analiza_wRankingach[[#This Row],[Nazwa uczelni]],StandardName[Ranking],"=THE")</f>
        <v>70</v>
      </c>
      <c r="AA75">
        <f>SUMIFS(StandardName[RankValueInTheRanking],StandardName[StandardizedName],Analiza_wRankingach[[#This Row],[Nazwa uczelni]],StandardName[Ranking],"=ARWU")</f>
        <v>0</v>
      </c>
      <c r="AB75">
        <f>SUMIFS(StandardName[RankValueInTheRanking],StandardName[StandardizedName],Analiza_wRankingach[[#This Row],[Nazwa uczelni]],StandardName[Ranking],"=QS")</f>
        <v>61</v>
      </c>
      <c r="AC75">
        <f>SUMIFS(StandardName[RankValueInTheRanking],StandardName[StandardizedName],Analiza_wRankingach[[#This Row],[Nazwa uczelni]],StandardName[Ranking],"=Webometrics")</f>
        <v>94</v>
      </c>
      <c r="AD75">
        <f>SUMIFS(StandardName[IDinTheRanking],StandardName[StandardizedName],Analiza_wRankingach[[#This Row],[Nazwa uczelni]],StandardName[Ranking],"=THE")</f>
        <v>70</v>
      </c>
      <c r="AE75">
        <f>SUMIFS(StandardName[IDinTheRanking],StandardName[StandardizedName],Analiza_wRankingach[[#This Row],[Nazwa uczelni]],StandardName[Ranking],"=ARWU")</f>
        <v>0</v>
      </c>
      <c r="AF75">
        <f>SUMIFS(StandardName[IDinTheRanking],StandardName[StandardizedName],Analiza_wRankingach[[#This Row],[Nazwa uczelni]],StandardName[Ranking],"=QS")</f>
        <v>61</v>
      </c>
      <c r="AG75">
        <f>SUMIFS(StandardName[IDinTheRanking],StandardName[StandardizedName],Analiza_wRankingach[[#This Row],[Nazwa uczelni]],StandardName[Ranking],"=Webometrics")</f>
        <v>94</v>
      </c>
      <c r="AH75">
        <f>SUM(Analiza_wRankingach[[#This Row],[THE_ID]:[Webometrics_ID]])</f>
        <v>225</v>
      </c>
      <c r="AI75" t="str">
        <f>IF(Analiza_wRankingach[[#This Row],[LiczbaWystąpień]]&gt;=T76,"OK","UWAGA")</f>
        <v>OK</v>
      </c>
    </row>
    <row r="76" spans="1:35" x14ac:dyDescent="0.45">
      <c r="A76">
        <v>74</v>
      </c>
      <c r="B76" t="str">
        <f>Analiza_wRankingach[[#This Row],[Nazwa uczelni]]</f>
        <v>University of Groningen</v>
      </c>
      <c r="C76">
        <f>Analiza_wRankingach[[#This Row],[WartośćKontrolna]]</f>
        <v>475</v>
      </c>
      <c r="D76">
        <f>Analiza_wRankingach[[#This Row],[THE_RV]]</f>
        <v>75</v>
      </c>
      <c r="E76">
        <f>Analiza_wRankingach[[#This Row],[ARWU_RV]]</f>
        <v>66</v>
      </c>
      <c r="F76">
        <f>Analiza_wRankingach[[#This Row],[QS_RV]]</f>
        <v>0</v>
      </c>
      <c r="G76">
        <f>Analiza_wRankingach[[#This Row],[Webometrics_RV]]</f>
        <v>84</v>
      </c>
      <c r="I76" t="s">
        <v>602</v>
      </c>
      <c r="J76">
        <v>74</v>
      </c>
      <c r="K76" t="s">
        <v>602</v>
      </c>
      <c r="L76">
        <v>74</v>
      </c>
      <c r="M76" t="s">
        <v>848</v>
      </c>
      <c r="O76" t="s">
        <v>388</v>
      </c>
      <c r="P76">
        <f>IF(SUMIFS(StandardName[IDinTheRanking],StandardName[StandardizedName],Analiza_wRankingach[[#This Row],[Nazwa uczelni]],StandardName[Ranking],"=THE")&gt;0,1,0)</f>
        <v>1</v>
      </c>
      <c r="Q76">
        <f>IF(SUMIFS(StandardName[IDinTheRanking],StandardName[StandardizedName],Analiza_wRankingach[[#This Row],[Nazwa uczelni]],StandardName[Ranking],"=ARWU")&gt;0,1,0)</f>
        <v>1</v>
      </c>
      <c r="R76">
        <f>IF(SUMIFS(StandardName[IDinTheRanking],StandardName[StandardizedName],Analiza_wRankingach[[#This Row],[Nazwa uczelni]],StandardName[Ranking],"=QS")&gt;0,1,0)</f>
        <v>0</v>
      </c>
      <c r="S76">
        <f>IF(SUMIFS(StandardName[IDinTheRanking],StandardName[StandardizedName],Analiza_wRankingach[[#This Row],[Nazwa uczelni]],StandardName[Ranking],"=Webometrics")&gt;0,1,0)</f>
        <v>1</v>
      </c>
      <c r="T76">
        <f>SUM(Analiza_wRankingach[[#This Row],[THE]:[Webometrics]])</f>
        <v>3</v>
      </c>
      <c r="U76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75</v>
      </c>
      <c r="V76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66</v>
      </c>
      <c r="W76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250</v>
      </c>
      <c r="X76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84</v>
      </c>
      <c r="Y76">
        <f>SUM(Analiza_wRankingach[[#This Row],[THE_RV1000]:[Webometrics_RV1000]])</f>
        <v>475</v>
      </c>
      <c r="Z76">
        <f>SUMIFS(StandardName[RankValueInTheRanking],StandardName[StandardizedName],Analiza_wRankingach[[#This Row],[Nazwa uczelni]],StandardName[Ranking],"=THE")</f>
        <v>75</v>
      </c>
      <c r="AA76">
        <f>SUMIFS(StandardName[RankValueInTheRanking],StandardName[StandardizedName],Analiza_wRankingach[[#This Row],[Nazwa uczelni]],StandardName[Ranking],"=ARWU")</f>
        <v>66</v>
      </c>
      <c r="AB76">
        <f>SUMIFS(StandardName[RankValueInTheRanking],StandardName[StandardizedName],Analiza_wRankingach[[#This Row],[Nazwa uczelni]],StandardName[Ranking],"=QS")</f>
        <v>0</v>
      </c>
      <c r="AC76">
        <f>SUMIFS(StandardName[RankValueInTheRanking],StandardName[StandardizedName],Analiza_wRankingach[[#This Row],[Nazwa uczelni]],StandardName[Ranking],"=Webometrics")</f>
        <v>84</v>
      </c>
      <c r="AD76">
        <f>SUMIFS(StandardName[IDinTheRanking],StandardName[StandardizedName],Analiza_wRankingach[[#This Row],[Nazwa uczelni]],StandardName[Ranking],"=THE")</f>
        <v>75</v>
      </c>
      <c r="AE76">
        <f>SUMIFS(StandardName[IDinTheRanking],StandardName[StandardizedName],Analiza_wRankingach[[#This Row],[Nazwa uczelni]],StandardName[Ranking],"=ARWU")</f>
        <v>66</v>
      </c>
      <c r="AF76">
        <f>SUMIFS(StandardName[IDinTheRanking],StandardName[StandardizedName],Analiza_wRankingach[[#This Row],[Nazwa uczelni]],StandardName[Ranking],"=QS")</f>
        <v>0</v>
      </c>
      <c r="AG76">
        <f>SUMIFS(StandardName[IDinTheRanking],StandardName[StandardizedName],Analiza_wRankingach[[#This Row],[Nazwa uczelni]],StandardName[Ranking],"=Webometrics")</f>
        <v>84</v>
      </c>
      <c r="AH76">
        <f>SUM(Analiza_wRankingach[[#This Row],[THE_ID]:[Webometrics_ID]])</f>
        <v>225</v>
      </c>
      <c r="AI76" t="str">
        <f>IF(Analiza_wRankingach[[#This Row],[LiczbaWystąpień]]&gt;=T77,"OK","UWAGA")</f>
        <v>OK</v>
      </c>
    </row>
    <row r="77" spans="1:35" x14ac:dyDescent="0.45">
      <c r="A77">
        <v>75</v>
      </c>
      <c r="B77" t="str">
        <f>Analiza_wRankingach[[#This Row],[Nazwa uczelni]]</f>
        <v>City University of Hong Kong</v>
      </c>
      <c r="C77">
        <f>Analiza_wRankingach[[#This Row],[WartośćKontrolna]]</f>
        <v>492</v>
      </c>
      <c r="D77">
        <f>Analiza_wRankingach[[#This Row],[THE_RV]]</f>
        <v>99</v>
      </c>
      <c r="E77">
        <f>Analiza_wRankingach[[#This Row],[ARWU_RV]]</f>
        <v>0</v>
      </c>
      <c r="F77">
        <f>Analiza_wRankingach[[#This Row],[QS_RV]]</f>
        <v>54</v>
      </c>
      <c r="G77">
        <f>Analiza_wRankingach[[#This Row],[Webometrics_RV]]</f>
        <v>89</v>
      </c>
      <c r="I77" t="s">
        <v>245</v>
      </c>
      <c r="J77">
        <v>75</v>
      </c>
      <c r="K77" t="s">
        <v>245</v>
      </c>
      <c r="L77">
        <v>75</v>
      </c>
      <c r="M77" t="s">
        <v>848</v>
      </c>
      <c r="O77" t="s">
        <v>474</v>
      </c>
      <c r="P77">
        <f>IF(SUMIFS(StandardName[IDinTheRanking],StandardName[StandardizedName],Analiza_wRankingach[[#This Row],[Nazwa uczelni]],StandardName[Ranking],"=THE")&gt;0,1,0)</f>
        <v>1</v>
      </c>
      <c r="Q77">
        <f>IF(SUMIFS(StandardName[IDinTheRanking],StandardName[StandardizedName],Analiza_wRankingach[[#This Row],[Nazwa uczelni]],StandardName[Ranking],"=ARWU")&gt;0,1,0)</f>
        <v>0</v>
      </c>
      <c r="R77">
        <f>IF(SUMIFS(StandardName[IDinTheRanking],StandardName[StandardizedName],Analiza_wRankingach[[#This Row],[Nazwa uczelni]],StandardName[Ranking],"=QS")&gt;0,1,0)</f>
        <v>1</v>
      </c>
      <c r="S77">
        <f>IF(SUMIFS(StandardName[IDinTheRanking],StandardName[StandardizedName],Analiza_wRankingach[[#This Row],[Nazwa uczelni]],StandardName[Ranking],"=Webometrics")&gt;0,1,0)</f>
        <v>1</v>
      </c>
      <c r="T77">
        <f>SUM(Analiza_wRankingach[[#This Row],[THE]:[Webometrics]])</f>
        <v>3</v>
      </c>
      <c r="U77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99</v>
      </c>
      <c r="V77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250</v>
      </c>
      <c r="W77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54</v>
      </c>
      <c r="X77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89</v>
      </c>
      <c r="Y77">
        <f>SUM(Analiza_wRankingach[[#This Row],[THE_RV1000]:[Webometrics_RV1000]])</f>
        <v>492</v>
      </c>
      <c r="Z77">
        <f>SUMIFS(StandardName[RankValueInTheRanking],StandardName[StandardizedName],Analiza_wRankingach[[#This Row],[Nazwa uczelni]],StandardName[Ranking],"=THE")</f>
        <v>99</v>
      </c>
      <c r="AA77">
        <f>SUMIFS(StandardName[RankValueInTheRanking],StandardName[StandardizedName],Analiza_wRankingach[[#This Row],[Nazwa uczelni]],StandardName[Ranking],"=ARWU")</f>
        <v>0</v>
      </c>
      <c r="AB77">
        <f>SUMIFS(StandardName[RankValueInTheRanking],StandardName[StandardizedName],Analiza_wRankingach[[#This Row],[Nazwa uczelni]],StandardName[Ranking],"=QS")</f>
        <v>54</v>
      </c>
      <c r="AC77">
        <f>SUMIFS(StandardName[RankValueInTheRanking],StandardName[StandardizedName],Analiza_wRankingach[[#This Row],[Nazwa uczelni]],StandardName[Ranking],"=Webometrics")</f>
        <v>89</v>
      </c>
      <c r="AD77">
        <f>SUMIFS(StandardName[IDinTheRanking],StandardName[StandardizedName],Analiza_wRankingach[[#This Row],[Nazwa uczelni]],StandardName[Ranking],"=THE")</f>
        <v>99</v>
      </c>
      <c r="AE77">
        <f>SUMIFS(StandardName[IDinTheRanking],StandardName[StandardizedName],Analiza_wRankingach[[#This Row],[Nazwa uczelni]],StandardName[Ranking],"=ARWU")</f>
        <v>0</v>
      </c>
      <c r="AF77">
        <f>SUMIFS(StandardName[IDinTheRanking],StandardName[StandardizedName],Analiza_wRankingach[[#This Row],[Nazwa uczelni]],StandardName[Ranking],"=QS")</f>
        <v>54</v>
      </c>
      <c r="AG77">
        <f>SUMIFS(StandardName[IDinTheRanking],StandardName[StandardizedName],Analiza_wRankingach[[#This Row],[Nazwa uczelni]],StandardName[Ranking],"=Webometrics")</f>
        <v>89</v>
      </c>
      <c r="AH77">
        <f>SUM(Analiza_wRankingach[[#This Row],[THE_ID]:[Webometrics_ID]])</f>
        <v>242</v>
      </c>
      <c r="AI77" t="str">
        <f>IF(Analiza_wRankingach[[#This Row],[LiczbaWystąpień]]&gt;=T78,"OK","UWAGA")</f>
        <v>OK</v>
      </c>
    </row>
    <row r="78" spans="1:35" x14ac:dyDescent="0.45">
      <c r="A78">
        <v>76</v>
      </c>
      <c r="B78" t="str">
        <f>Analiza_wRankingach[[#This Row],[Nazwa uczelni]]</f>
        <v>University of California San Francisco</v>
      </c>
      <c r="C78">
        <f>Analiza_wRankingach[[#This Row],[WartośćKontrolna]]</f>
        <v>558</v>
      </c>
      <c r="D78">
        <f>Analiza_wRankingach[[#This Row],[THE_RV]]</f>
        <v>0</v>
      </c>
      <c r="E78">
        <f>Analiza_wRankingach[[#This Row],[ARWU_RV]]</f>
        <v>19</v>
      </c>
      <c r="F78">
        <f>Analiza_wRankingach[[#This Row],[QS_RV]]</f>
        <v>0</v>
      </c>
      <c r="G78">
        <f>Analiza_wRankingach[[#This Row],[Webometrics_RV]]</f>
        <v>39</v>
      </c>
      <c r="I78" t="s">
        <v>443</v>
      </c>
      <c r="J78">
        <v>76</v>
      </c>
      <c r="K78" t="s">
        <v>443</v>
      </c>
      <c r="L78">
        <v>76</v>
      </c>
      <c r="M78" t="s">
        <v>848</v>
      </c>
      <c r="O78" t="s">
        <v>809</v>
      </c>
      <c r="P78">
        <f>IF(SUMIFS(StandardName[IDinTheRanking],StandardName[StandardizedName],Analiza_wRankingach[[#This Row],[Nazwa uczelni]],StandardName[Ranking],"=THE")&gt;0,1,0)</f>
        <v>0</v>
      </c>
      <c r="Q78">
        <f>IF(SUMIFS(StandardName[IDinTheRanking],StandardName[StandardizedName],Analiza_wRankingach[[#This Row],[Nazwa uczelni]],StandardName[Ranking],"=ARWU")&gt;0,1,0)</f>
        <v>1</v>
      </c>
      <c r="R78">
        <f>IF(SUMIFS(StandardName[IDinTheRanking],StandardName[StandardizedName],Analiza_wRankingach[[#This Row],[Nazwa uczelni]],StandardName[Ranking],"=QS")&gt;0,1,0)</f>
        <v>0</v>
      </c>
      <c r="S78">
        <f>IF(SUMIFS(StandardName[IDinTheRanking],StandardName[StandardizedName],Analiza_wRankingach[[#This Row],[Nazwa uczelni]],StandardName[Ranking],"=Webometrics")&gt;0,1,0)</f>
        <v>1</v>
      </c>
      <c r="T78">
        <f>SUM(Analiza_wRankingach[[#This Row],[THE]:[Webometrics]])</f>
        <v>2</v>
      </c>
      <c r="U78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250</v>
      </c>
      <c r="V78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19</v>
      </c>
      <c r="W78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250</v>
      </c>
      <c r="X78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39</v>
      </c>
      <c r="Y78">
        <f>SUM(Analiza_wRankingach[[#This Row],[THE_RV1000]:[Webometrics_RV1000]])</f>
        <v>558</v>
      </c>
      <c r="Z78">
        <f>SUMIFS(StandardName[RankValueInTheRanking],StandardName[StandardizedName],Analiza_wRankingach[[#This Row],[Nazwa uczelni]],StandardName[Ranking],"=THE")</f>
        <v>0</v>
      </c>
      <c r="AA78">
        <f>SUMIFS(StandardName[RankValueInTheRanking],StandardName[StandardizedName],Analiza_wRankingach[[#This Row],[Nazwa uczelni]],StandardName[Ranking],"=ARWU")</f>
        <v>19</v>
      </c>
      <c r="AB78">
        <f>SUMIFS(StandardName[RankValueInTheRanking],StandardName[StandardizedName],Analiza_wRankingach[[#This Row],[Nazwa uczelni]],StandardName[Ranking],"=QS")</f>
        <v>0</v>
      </c>
      <c r="AC78">
        <f>SUMIFS(StandardName[RankValueInTheRanking],StandardName[StandardizedName],Analiza_wRankingach[[#This Row],[Nazwa uczelni]],StandardName[Ranking],"=Webometrics")</f>
        <v>39</v>
      </c>
      <c r="AD78">
        <f>SUMIFS(StandardName[IDinTheRanking],StandardName[StandardizedName],Analiza_wRankingach[[#This Row],[Nazwa uczelni]],StandardName[Ranking],"=THE")</f>
        <v>0</v>
      </c>
      <c r="AE78">
        <f>SUMIFS(StandardName[IDinTheRanking],StandardName[StandardizedName],Analiza_wRankingach[[#This Row],[Nazwa uczelni]],StandardName[Ranking],"=ARWU")</f>
        <v>19</v>
      </c>
      <c r="AF78">
        <f>SUMIFS(StandardName[IDinTheRanking],StandardName[StandardizedName],Analiza_wRankingach[[#This Row],[Nazwa uczelni]],StandardName[Ranking],"=QS")</f>
        <v>0</v>
      </c>
      <c r="AG78">
        <f>SUMIFS(StandardName[IDinTheRanking],StandardName[StandardizedName],Analiza_wRankingach[[#This Row],[Nazwa uczelni]],StandardName[Ranking],"=Webometrics")</f>
        <v>39</v>
      </c>
      <c r="AH78">
        <f>SUM(Analiza_wRankingach[[#This Row],[THE_ID]:[Webometrics_ID]])</f>
        <v>58</v>
      </c>
      <c r="AI78" t="str">
        <f>IF(Analiza_wRankingach[[#This Row],[LiczbaWystąpień]]&gt;=T79,"OK","UWAGA")</f>
        <v>OK</v>
      </c>
    </row>
    <row r="79" spans="1:35" x14ac:dyDescent="0.45">
      <c r="A79">
        <v>77</v>
      </c>
      <c r="B79" t="str">
        <f>Analiza_wRankingach[[#This Row],[Nazwa uczelni]]</f>
        <v>University of Minnesota, Twin Cities</v>
      </c>
      <c r="C79">
        <f>Analiza_wRankingach[[#This Row],[WartośćKontrolna]]</f>
        <v>562</v>
      </c>
      <c r="D79">
        <f>Analiza_wRankingach[[#This Row],[THE_RV]]</f>
        <v>0</v>
      </c>
      <c r="E79">
        <f>Analiza_wRankingach[[#This Row],[ARWU_RV]]</f>
        <v>44</v>
      </c>
      <c r="F79">
        <f>Analiza_wRankingach[[#This Row],[QS_RV]]</f>
        <v>0</v>
      </c>
      <c r="G79">
        <f>Analiza_wRankingach[[#This Row],[Webometrics_RV]]</f>
        <v>18</v>
      </c>
      <c r="I79" t="s">
        <v>603</v>
      </c>
      <c r="J79">
        <v>77</v>
      </c>
      <c r="K79" t="s">
        <v>603</v>
      </c>
      <c r="L79">
        <v>77</v>
      </c>
      <c r="M79" t="s">
        <v>848</v>
      </c>
      <c r="O79" t="s">
        <v>556</v>
      </c>
      <c r="P79">
        <f>IF(SUMIFS(StandardName[IDinTheRanking],StandardName[StandardizedName],Analiza_wRankingach[[#This Row],[Nazwa uczelni]],StandardName[Ranking],"=THE")&gt;0,1,0)</f>
        <v>0</v>
      </c>
      <c r="Q79">
        <f>IF(SUMIFS(StandardName[IDinTheRanking],StandardName[StandardizedName],Analiza_wRankingach[[#This Row],[Nazwa uczelni]],StandardName[Ranking],"=ARWU")&gt;0,1,0)</f>
        <v>1</v>
      </c>
      <c r="R79">
        <f>IF(SUMIFS(StandardName[IDinTheRanking],StandardName[StandardizedName],Analiza_wRankingach[[#This Row],[Nazwa uczelni]],StandardName[Ranking],"=QS")&gt;0,1,0)</f>
        <v>0</v>
      </c>
      <c r="S79">
        <f>IF(SUMIFS(StandardName[IDinTheRanking],StandardName[StandardizedName],Analiza_wRankingach[[#This Row],[Nazwa uczelni]],StandardName[Ranking],"=Webometrics")&gt;0,1,0)</f>
        <v>1</v>
      </c>
      <c r="T79">
        <f>SUM(Analiza_wRankingach[[#This Row],[THE]:[Webometrics]])</f>
        <v>2</v>
      </c>
      <c r="U79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250</v>
      </c>
      <c r="V79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44</v>
      </c>
      <c r="W79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250</v>
      </c>
      <c r="X79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18</v>
      </c>
      <c r="Y79">
        <f>SUM(Analiza_wRankingach[[#This Row],[THE_RV1000]:[Webometrics_RV1000]])</f>
        <v>562</v>
      </c>
      <c r="Z79">
        <f>SUMIFS(StandardName[RankValueInTheRanking],StandardName[StandardizedName],Analiza_wRankingach[[#This Row],[Nazwa uczelni]],StandardName[Ranking],"=THE")</f>
        <v>0</v>
      </c>
      <c r="AA79">
        <f>SUMIFS(StandardName[RankValueInTheRanking],StandardName[StandardizedName],Analiza_wRankingach[[#This Row],[Nazwa uczelni]],StandardName[Ranking],"=ARWU")</f>
        <v>44</v>
      </c>
      <c r="AB79">
        <f>SUMIFS(StandardName[RankValueInTheRanking],StandardName[StandardizedName],Analiza_wRankingach[[#This Row],[Nazwa uczelni]],StandardName[Ranking],"=QS")</f>
        <v>0</v>
      </c>
      <c r="AC79">
        <f>SUMIFS(StandardName[RankValueInTheRanking],StandardName[StandardizedName],Analiza_wRankingach[[#This Row],[Nazwa uczelni]],StandardName[Ranking],"=Webometrics")</f>
        <v>18</v>
      </c>
      <c r="AD79">
        <f>SUMIFS(StandardName[IDinTheRanking],StandardName[StandardizedName],Analiza_wRankingach[[#This Row],[Nazwa uczelni]],StandardName[Ranking],"=THE")</f>
        <v>0</v>
      </c>
      <c r="AE79">
        <f>SUMIFS(StandardName[IDinTheRanking],StandardName[StandardizedName],Analiza_wRankingach[[#This Row],[Nazwa uczelni]],StandardName[Ranking],"=ARWU")</f>
        <v>46</v>
      </c>
      <c r="AF79">
        <f>SUMIFS(StandardName[IDinTheRanking],StandardName[StandardizedName],Analiza_wRankingach[[#This Row],[Nazwa uczelni]],StandardName[Ranking],"=QS")</f>
        <v>0</v>
      </c>
      <c r="AG79">
        <f>SUMIFS(StandardName[IDinTheRanking],StandardName[StandardizedName],Analiza_wRankingach[[#This Row],[Nazwa uczelni]],StandardName[Ranking],"=Webometrics")</f>
        <v>18</v>
      </c>
      <c r="AH79">
        <f>SUM(Analiza_wRankingach[[#This Row],[THE_ID]:[Webometrics_ID]])</f>
        <v>64</v>
      </c>
      <c r="AI79" t="str">
        <f>IF(Analiza_wRankingach[[#This Row],[LiczbaWystąpień]]&gt;=T80,"OK","UWAGA")</f>
        <v>OK</v>
      </c>
    </row>
    <row r="80" spans="1:35" x14ac:dyDescent="0.45">
      <c r="A80">
        <v>78</v>
      </c>
      <c r="B80" t="str">
        <f>Analiza_wRankingach[[#This Row],[Nazwa uczelni]]</f>
        <v>Karolinska Institute</v>
      </c>
      <c r="C80">
        <f>Analiza_wRankingach[[#This Row],[WartośćKontrolna]]</f>
        <v>590</v>
      </c>
      <c r="D80">
        <f>Analiza_wRankingach[[#This Row],[THE_RV]]</f>
        <v>49</v>
      </c>
      <c r="E80">
        <f>Analiza_wRankingach[[#This Row],[ARWU_RV]]</f>
        <v>41</v>
      </c>
      <c r="F80">
        <f>Analiza_wRankingach[[#This Row],[QS_RV]]</f>
        <v>0</v>
      </c>
      <c r="G80">
        <f>Analiza_wRankingach[[#This Row],[Webometrics_RV]]</f>
        <v>0</v>
      </c>
      <c r="I80" t="s">
        <v>604</v>
      </c>
      <c r="J80">
        <v>78</v>
      </c>
      <c r="K80" t="s">
        <v>604</v>
      </c>
      <c r="L80">
        <v>78</v>
      </c>
      <c r="M80" t="s">
        <v>848</v>
      </c>
      <c r="O80" t="s">
        <v>270</v>
      </c>
      <c r="P80">
        <f>IF(SUMIFS(StandardName[IDinTheRanking],StandardName[StandardizedName],Analiza_wRankingach[[#This Row],[Nazwa uczelni]],StandardName[Ranking],"=THE")&gt;0,1,0)</f>
        <v>1</v>
      </c>
      <c r="Q80">
        <f>IF(SUMIFS(StandardName[IDinTheRanking],StandardName[StandardizedName],Analiza_wRankingach[[#This Row],[Nazwa uczelni]],StandardName[Ranking],"=ARWU")&gt;0,1,0)</f>
        <v>1</v>
      </c>
      <c r="R80">
        <f>IF(SUMIFS(StandardName[IDinTheRanking],StandardName[StandardizedName],Analiza_wRankingach[[#This Row],[Nazwa uczelni]],StandardName[Ranking],"=QS")&gt;0,1,0)</f>
        <v>0</v>
      </c>
      <c r="S80">
        <f>IF(SUMIFS(StandardName[IDinTheRanking],StandardName[StandardizedName],Analiza_wRankingach[[#This Row],[Nazwa uczelni]],StandardName[Ranking],"=Webometrics")&gt;0,1,0)</f>
        <v>0</v>
      </c>
      <c r="T80">
        <f>SUM(Analiza_wRankingach[[#This Row],[THE]:[Webometrics]])</f>
        <v>2</v>
      </c>
      <c r="U80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49</v>
      </c>
      <c r="V80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41</v>
      </c>
      <c r="W80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250</v>
      </c>
      <c r="X80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250</v>
      </c>
      <c r="Y80">
        <f>SUM(Analiza_wRankingach[[#This Row],[THE_RV1000]:[Webometrics_RV1000]])</f>
        <v>590</v>
      </c>
      <c r="Z80">
        <f>SUMIFS(StandardName[RankValueInTheRanking],StandardName[StandardizedName],Analiza_wRankingach[[#This Row],[Nazwa uczelni]],StandardName[Ranking],"=THE")</f>
        <v>49</v>
      </c>
      <c r="AA80">
        <f>SUMIFS(StandardName[RankValueInTheRanking],StandardName[StandardizedName],Analiza_wRankingach[[#This Row],[Nazwa uczelni]],StandardName[Ranking],"=ARWU")</f>
        <v>41</v>
      </c>
      <c r="AB80">
        <f>SUMIFS(StandardName[RankValueInTheRanking],StandardName[StandardizedName],Analiza_wRankingach[[#This Row],[Nazwa uczelni]],StandardName[Ranking],"=QS")</f>
        <v>0</v>
      </c>
      <c r="AC80">
        <f>SUMIFS(StandardName[RankValueInTheRanking],StandardName[StandardizedName],Analiza_wRankingach[[#This Row],[Nazwa uczelni]],StandardName[Ranking],"=Webometrics")</f>
        <v>0</v>
      </c>
      <c r="AD80">
        <f>SUMIFS(StandardName[IDinTheRanking],StandardName[StandardizedName],Analiza_wRankingach[[#This Row],[Nazwa uczelni]],StandardName[Ranking],"=THE")</f>
        <v>49</v>
      </c>
      <c r="AE80">
        <f>SUMIFS(StandardName[IDinTheRanking],StandardName[StandardizedName],Analiza_wRankingach[[#This Row],[Nazwa uczelni]],StandardName[Ranking],"=ARWU")</f>
        <v>41</v>
      </c>
      <c r="AF80">
        <f>SUMIFS(StandardName[IDinTheRanking],StandardName[StandardizedName],Analiza_wRankingach[[#This Row],[Nazwa uczelni]],StandardName[Ranking],"=QS")</f>
        <v>0</v>
      </c>
      <c r="AG80">
        <f>SUMIFS(StandardName[IDinTheRanking],StandardName[StandardizedName],Analiza_wRankingach[[#This Row],[Nazwa uczelni]],StandardName[Ranking],"=Webometrics")</f>
        <v>0</v>
      </c>
      <c r="AH80">
        <f>SUM(Analiza_wRankingach[[#This Row],[THE_ID]:[Webometrics_ID]])</f>
        <v>90</v>
      </c>
      <c r="AI80" t="str">
        <f>IF(Analiza_wRankingach[[#This Row],[LiczbaWystąpień]]&gt;=T81,"OK","UWAGA")</f>
        <v>OK</v>
      </c>
    </row>
    <row r="81" spans="1:35" x14ac:dyDescent="0.45">
      <c r="A81">
        <v>79</v>
      </c>
      <c r="B81" t="str">
        <f>Analiza_wRankingach[[#This Row],[Nazwa uczelni]]</f>
        <v>LMU Munich</v>
      </c>
      <c r="C81">
        <f>Analiza_wRankingach[[#This Row],[WartośćKontrolna]]</f>
        <v>592</v>
      </c>
      <c r="D81">
        <f>Analiza_wRankingach[[#This Row],[THE_RV]]</f>
        <v>33</v>
      </c>
      <c r="E81">
        <f>Analiza_wRankingach[[#This Row],[ARWU_RV]]</f>
        <v>0</v>
      </c>
      <c r="F81">
        <f>Analiza_wRankingach[[#This Row],[QS_RV]]</f>
        <v>59</v>
      </c>
      <c r="G81">
        <f>Analiza_wRankingach[[#This Row],[Webometrics_RV]]</f>
        <v>0</v>
      </c>
      <c r="I81" t="s">
        <v>605</v>
      </c>
      <c r="J81">
        <v>79</v>
      </c>
      <c r="K81" t="s">
        <v>605</v>
      </c>
      <c r="L81">
        <v>79</v>
      </c>
      <c r="M81" t="s">
        <v>848</v>
      </c>
      <c r="O81" t="s">
        <v>190</v>
      </c>
      <c r="P81">
        <f>IF(SUMIFS(StandardName[IDinTheRanking],StandardName[StandardizedName],Analiza_wRankingach[[#This Row],[Nazwa uczelni]],StandardName[Ranking],"=THE")&gt;0,1,0)</f>
        <v>1</v>
      </c>
      <c r="Q81">
        <f>IF(SUMIFS(StandardName[IDinTheRanking],StandardName[StandardizedName],Analiza_wRankingach[[#This Row],[Nazwa uczelni]],StandardName[Ranking],"=ARWU")&gt;0,1,0)</f>
        <v>0</v>
      </c>
      <c r="R81">
        <f>IF(SUMIFS(StandardName[IDinTheRanking],StandardName[StandardizedName],Analiza_wRankingach[[#This Row],[Nazwa uczelni]],StandardName[Ranking],"=QS")&gt;0,1,0)</f>
        <v>1</v>
      </c>
      <c r="S81">
        <f>IF(SUMIFS(StandardName[IDinTheRanking],StandardName[StandardizedName],Analiza_wRankingach[[#This Row],[Nazwa uczelni]],StandardName[Ranking],"=Webometrics")&gt;0,1,0)</f>
        <v>0</v>
      </c>
      <c r="T81">
        <f>SUM(Analiza_wRankingach[[#This Row],[THE]:[Webometrics]])</f>
        <v>2</v>
      </c>
      <c r="U81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33</v>
      </c>
      <c r="V81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250</v>
      </c>
      <c r="W81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59</v>
      </c>
      <c r="X81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250</v>
      </c>
      <c r="Y81">
        <f>SUM(Analiza_wRankingach[[#This Row],[THE_RV1000]:[Webometrics_RV1000]])</f>
        <v>592</v>
      </c>
      <c r="Z81">
        <f>SUMIFS(StandardName[RankValueInTheRanking],StandardName[StandardizedName],Analiza_wRankingach[[#This Row],[Nazwa uczelni]],StandardName[Ranking],"=THE")</f>
        <v>33</v>
      </c>
      <c r="AA81">
        <f>SUMIFS(StandardName[RankValueInTheRanking],StandardName[StandardizedName],Analiza_wRankingach[[#This Row],[Nazwa uczelni]],StandardName[Ranking],"=ARWU")</f>
        <v>0</v>
      </c>
      <c r="AB81">
        <f>SUMIFS(StandardName[RankValueInTheRanking],StandardName[StandardizedName],Analiza_wRankingach[[#This Row],[Nazwa uczelni]],StandardName[Ranking],"=QS")</f>
        <v>59</v>
      </c>
      <c r="AC81">
        <f>SUMIFS(StandardName[RankValueInTheRanking],StandardName[StandardizedName],Analiza_wRankingach[[#This Row],[Nazwa uczelni]],StandardName[Ranking],"=Webometrics")</f>
        <v>0</v>
      </c>
      <c r="AD81">
        <f>SUMIFS(StandardName[IDinTheRanking],StandardName[StandardizedName],Analiza_wRankingach[[#This Row],[Nazwa uczelni]],StandardName[Ranking],"=THE")</f>
        <v>33</v>
      </c>
      <c r="AE81">
        <f>SUMIFS(StandardName[IDinTheRanking],StandardName[StandardizedName],Analiza_wRankingach[[#This Row],[Nazwa uczelni]],StandardName[Ranking],"=ARWU")</f>
        <v>0</v>
      </c>
      <c r="AF81">
        <f>SUMIFS(StandardName[IDinTheRanking],StandardName[StandardizedName],Analiza_wRankingach[[#This Row],[Nazwa uczelni]],StandardName[Ranking],"=QS")</f>
        <v>59</v>
      </c>
      <c r="AG81">
        <f>SUMIFS(StandardName[IDinTheRanking],StandardName[StandardizedName],Analiza_wRankingach[[#This Row],[Nazwa uczelni]],StandardName[Ranking],"=Webometrics")</f>
        <v>0</v>
      </c>
      <c r="AH81">
        <f>SUM(Analiza_wRankingach[[#This Row],[THE_ID]:[Webometrics_ID]])</f>
        <v>92</v>
      </c>
      <c r="AI81" t="str">
        <f>IF(Analiza_wRankingach[[#This Row],[LiczbaWystąpień]]&gt;=T82,"OK","UWAGA")</f>
        <v>OK</v>
      </c>
    </row>
    <row r="82" spans="1:35" x14ac:dyDescent="0.45">
      <c r="A82">
        <v>80</v>
      </c>
      <c r="B82" t="str">
        <f>Analiza_wRankingach[[#This Row],[Nazwa uczelni]]</f>
        <v>London School of Economics and Political Science</v>
      </c>
      <c r="C82">
        <f>Analiza_wRankingach[[#This Row],[WartośćKontrolna]]</f>
        <v>593</v>
      </c>
      <c r="D82">
        <f>Analiza_wRankingach[[#This Row],[THE_RV]]</f>
        <v>37</v>
      </c>
      <c r="E82">
        <f>Analiza_wRankingach[[#This Row],[ARWU_RV]]</f>
        <v>0</v>
      </c>
      <c r="F82">
        <f>Analiza_wRankingach[[#This Row],[QS_RV]]</f>
        <v>56</v>
      </c>
      <c r="G82">
        <f>Analiza_wRankingach[[#This Row],[Webometrics_RV]]</f>
        <v>0</v>
      </c>
      <c r="I82" t="s">
        <v>606</v>
      </c>
      <c r="J82">
        <v>80</v>
      </c>
      <c r="K82" t="s">
        <v>337</v>
      </c>
      <c r="L82">
        <v>79</v>
      </c>
      <c r="M82" t="s">
        <v>848</v>
      </c>
      <c r="O82" t="s">
        <v>211</v>
      </c>
      <c r="P82">
        <f>IF(SUMIFS(StandardName[IDinTheRanking],StandardName[StandardizedName],Analiza_wRankingach[[#This Row],[Nazwa uczelni]],StandardName[Ranking],"=THE")&gt;0,1,0)</f>
        <v>1</v>
      </c>
      <c r="Q82">
        <f>IF(SUMIFS(StandardName[IDinTheRanking],StandardName[StandardizedName],Analiza_wRankingach[[#This Row],[Nazwa uczelni]],StandardName[Ranking],"=ARWU")&gt;0,1,0)</f>
        <v>0</v>
      </c>
      <c r="R82">
        <f>IF(SUMIFS(StandardName[IDinTheRanking],StandardName[StandardizedName],Analiza_wRankingach[[#This Row],[Nazwa uczelni]],StandardName[Ranking],"=QS")&gt;0,1,0)</f>
        <v>1</v>
      </c>
      <c r="S82">
        <f>IF(SUMIFS(StandardName[IDinTheRanking],StandardName[StandardizedName],Analiza_wRankingach[[#This Row],[Nazwa uczelni]],StandardName[Ranking],"=Webometrics")&gt;0,1,0)</f>
        <v>0</v>
      </c>
      <c r="T82">
        <f>SUM(Analiza_wRankingach[[#This Row],[THE]:[Webometrics]])</f>
        <v>2</v>
      </c>
      <c r="U82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37</v>
      </c>
      <c r="V82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250</v>
      </c>
      <c r="W82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56</v>
      </c>
      <c r="X82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250</v>
      </c>
      <c r="Y82">
        <f>SUM(Analiza_wRankingach[[#This Row],[THE_RV1000]:[Webometrics_RV1000]])</f>
        <v>593</v>
      </c>
      <c r="Z82">
        <f>SUMIFS(StandardName[RankValueInTheRanking],StandardName[StandardizedName],Analiza_wRankingach[[#This Row],[Nazwa uczelni]],StandardName[Ranking],"=THE")</f>
        <v>37</v>
      </c>
      <c r="AA82">
        <f>SUMIFS(StandardName[RankValueInTheRanking],StandardName[StandardizedName],Analiza_wRankingach[[#This Row],[Nazwa uczelni]],StandardName[Ranking],"=ARWU")</f>
        <v>0</v>
      </c>
      <c r="AB82">
        <f>SUMIFS(StandardName[RankValueInTheRanking],StandardName[StandardizedName],Analiza_wRankingach[[#This Row],[Nazwa uczelni]],StandardName[Ranking],"=QS")</f>
        <v>56</v>
      </c>
      <c r="AC82">
        <f>SUMIFS(StandardName[RankValueInTheRanking],StandardName[StandardizedName],Analiza_wRankingach[[#This Row],[Nazwa uczelni]],StandardName[Ranking],"=Webometrics")</f>
        <v>0</v>
      </c>
      <c r="AD82">
        <f>SUMIFS(StandardName[IDinTheRanking],StandardName[StandardizedName],Analiza_wRankingach[[#This Row],[Nazwa uczelni]],StandardName[Ranking],"=THE")</f>
        <v>37</v>
      </c>
      <c r="AE82">
        <f>SUMIFS(StandardName[IDinTheRanking],StandardName[StandardizedName],Analiza_wRankingach[[#This Row],[Nazwa uczelni]],StandardName[Ranking],"=ARWU")</f>
        <v>0</v>
      </c>
      <c r="AF82">
        <f>SUMIFS(StandardName[IDinTheRanking],StandardName[StandardizedName],Analiza_wRankingach[[#This Row],[Nazwa uczelni]],StandardName[Ranking],"=QS")</f>
        <v>56</v>
      </c>
      <c r="AG82">
        <f>SUMIFS(StandardName[IDinTheRanking],StandardName[StandardizedName],Analiza_wRankingach[[#This Row],[Nazwa uczelni]],StandardName[Ranking],"=Webometrics")</f>
        <v>0</v>
      </c>
      <c r="AH82">
        <f>SUM(Analiza_wRankingach[[#This Row],[THE_ID]:[Webometrics_ID]])</f>
        <v>93</v>
      </c>
      <c r="AI82" t="str">
        <f>IF(Analiza_wRankingach[[#This Row],[LiczbaWystąpień]]&gt;=T83,"OK","UWAGA")</f>
        <v>OK</v>
      </c>
    </row>
    <row r="83" spans="1:35" x14ac:dyDescent="0.45">
      <c r="A83">
        <v>81</v>
      </c>
      <c r="B83" t="str">
        <f>Analiza_wRankingach[[#This Row],[Nazwa uczelni]]</f>
        <v>The Hong Kong University of Science and Technology</v>
      </c>
      <c r="C83">
        <f>Analiza_wRankingach[[#This Row],[WartośćKontrolna]]</f>
        <v>598</v>
      </c>
      <c r="D83">
        <f>Analiza_wRankingach[[#This Row],[THE_RV]]</f>
        <v>58</v>
      </c>
      <c r="E83">
        <f>Analiza_wRankingach[[#This Row],[ARWU_RV]]</f>
        <v>0</v>
      </c>
      <c r="F83">
        <f>Analiza_wRankingach[[#This Row],[QS_RV]]</f>
        <v>40</v>
      </c>
      <c r="G83">
        <f>Analiza_wRankingach[[#This Row],[Webometrics_RV]]</f>
        <v>0</v>
      </c>
      <c r="I83" t="s">
        <v>392</v>
      </c>
      <c r="J83">
        <v>81</v>
      </c>
      <c r="K83" t="s">
        <v>392</v>
      </c>
      <c r="L83">
        <v>81</v>
      </c>
      <c r="M83" t="s">
        <v>848</v>
      </c>
      <c r="O83" t="s">
        <v>319</v>
      </c>
      <c r="P83">
        <f>IF(SUMIFS(StandardName[IDinTheRanking],StandardName[StandardizedName],Analiza_wRankingach[[#This Row],[Nazwa uczelni]],StandardName[Ranking],"=THE")&gt;0,1,0)</f>
        <v>1</v>
      </c>
      <c r="Q83">
        <f>IF(SUMIFS(StandardName[IDinTheRanking],StandardName[StandardizedName],Analiza_wRankingach[[#This Row],[Nazwa uczelni]],StandardName[Ranking],"=ARWU")&gt;0,1,0)</f>
        <v>0</v>
      </c>
      <c r="R83">
        <f>IF(SUMIFS(StandardName[IDinTheRanking],StandardName[StandardizedName],Analiza_wRankingach[[#This Row],[Nazwa uczelni]],StandardName[Ranking],"=QS")&gt;0,1,0)</f>
        <v>1</v>
      </c>
      <c r="S83">
        <f>IF(SUMIFS(StandardName[IDinTheRanking],StandardName[StandardizedName],Analiza_wRankingach[[#This Row],[Nazwa uczelni]],StandardName[Ranking],"=Webometrics")&gt;0,1,0)</f>
        <v>0</v>
      </c>
      <c r="T83">
        <f>SUM(Analiza_wRankingach[[#This Row],[THE]:[Webometrics]])</f>
        <v>2</v>
      </c>
      <c r="U83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58</v>
      </c>
      <c r="V83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250</v>
      </c>
      <c r="W83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40</v>
      </c>
      <c r="X83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250</v>
      </c>
      <c r="Y83">
        <f>SUM(Analiza_wRankingach[[#This Row],[THE_RV1000]:[Webometrics_RV1000]])</f>
        <v>598</v>
      </c>
      <c r="Z83">
        <f>SUMIFS(StandardName[RankValueInTheRanking],StandardName[StandardizedName],Analiza_wRankingach[[#This Row],[Nazwa uczelni]],StandardName[Ranking],"=THE")</f>
        <v>58</v>
      </c>
      <c r="AA83">
        <f>SUMIFS(StandardName[RankValueInTheRanking],StandardName[StandardizedName],Analiza_wRankingach[[#This Row],[Nazwa uczelni]],StandardName[Ranking],"=ARWU")</f>
        <v>0</v>
      </c>
      <c r="AB83">
        <f>SUMIFS(StandardName[RankValueInTheRanking],StandardName[StandardizedName],Analiza_wRankingach[[#This Row],[Nazwa uczelni]],StandardName[Ranking],"=QS")</f>
        <v>40</v>
      </c>
      <c r="AC83">
        <f>SUMIFS(StandardName[RankValueInTheRanking],StandardName[StandardizedName],Analiza_wRankingach[[#This Row],[Nazwa uczelni]],StandardName[Ranking],"=Webometrics")</f>
        <v>0</v>
      </c>
      <c r="AD83">
        <f>SUMIFS(StandardName[IDinTheRanking],StandardName[StandardizedName],Analiza_wRankingach[[#This Row],[Nazwa uczelni]],StandardName[Ranking],"=THE")</f>
        <v>58</v>
      </c>
      <c r="AE83">
        <f>SUMIFS(StandardName[IDinTheRanking],StandardName[StandardizedName],Analiza_wRankingach[[#This Row],[Nazwa uczelni]],StandardName[Ranking],"=ARWU")</f>
        <v>0</v>
      </c>
      <c r="AF83">
        <f>SUMIFS(StandardName[IDinTheRanking],StandardName[StandardizedName],Analiza_wRankingach[[#This Row],[Nazwa uczelni]],StandardName[Ranking],"=QS")</f>
        <v>40</v>
      </c>
      <c r="AG83">
        <f>SUMIFS(StandardName[IDinTheRanking],StandardName[StandardizedName],Analiza_wRankingach[[#This Row],[Nazwa uczelni]],StandardName[Ranking],"=Webometrics")</f>
        <v>0</v>
      </c>
      <c r="AH83">
        <f>SUM(Analiza_wRankingach[[#This Row],[THE_ID]:[Webometrics_ID]])</f>
        <v>98</v>
      </c>
      <c r="AI83" t="str">
        <f>IF(Analiza_wRankingach[[#This Row],[LiczbaWystąpień]]&gt;=T84,"OK","UWAGA")</f>
        <v>OK</v>
      </c>
    </row>
    <row r="84" spans="1:35" x14ac:dyDescent="0.45">
      <c r="A84">
        <v>82</v>
      </c>
      <c r="B84" t="str">
        <f>Analiza_wRankingach[[#This Row],[Nazwa uczelni]]</f>
        <v>University of California Davis</v>
      </c>
      <c r="C84">
        <f>Analiza_wRankingach[[#This Row],[WartośćKontrolna]]</f>
        <v>600</v>
      </c>
      <c r="D84">
        <f>Analiza_wRankingach[[#This Row],[THE_RV]]</f>
        <v>63</v>
      </c>
      <c r="E84">
        <f>Analiza_wRankingach[[#This Row],[ARWU_RV]]</f>
        <v>0</v>
      </c>
      <c r="F84">
        <f>Analiza_wRankingach[[#This Row],[QS_RV]]</f>
        <v>0</v>
      </c>
      <c r="G84">
        <f>Analiza_wRankingach[[#This Row],[Webometrics_RV]]</f>
        <v>37</v>
      </c>
      <c r="I84" t="s">
        <v>607</v>
      </c>
      <c r="J84">
        <v>82</v>
      </c>
      <c r="K84" t="s">
        <v>607</v>
      </c>
      <c r="L84">
        <v>82</v>
      </c>
      <c r="M84" t="s">
        <v>848</v>
      </c>
      <c r="O84" t="s">
        <v>807</v>
      </c>
      <c r="P84">
        <f>IF(SUMIFS(StandardName[IDinTheRanking],StandardName[StandardizedName],Analiza_wRankingach[[#This Row],[Nazwa uczelni]],StandardName[Ranking],"=THE")&gt;0,1,0)</f>
        <v>1</v>
      </c>
      <c r="Q84">
        <f>IF(SUMIFS(StandardName[IDinTheRanking],StandardName[StandardizedName],Analiza_wRankingach[[#This Row],[Nazwa uczelni]],StandardName[Ranking],"=ARWU")&gt;0,1,0)</f>
        <v>0</v>
      </c>
      <c r="R84">
        <f>IF(SUMIFS(StandardName[IDinTheRanking],StandardName[StandardizedName],Analiza_wRankingach[[#This Row],[Nazwa uczelni]],StandardName[Ranking],"=QS")&gt;0,1,0)</f>
        <v>0</v>
      </c>
      <c r="S84">
        <f>IF(SUMIFS(StandardName[IDinTheRanking],StandardName[StandardizedName],Analiza_wRankingach[[#This Row],[Nazwa uczelni]],StandardName[Ranking],"=Webometrics")&gt;0,1,0)</f>
        <v>1</v>
      </c>
      <c r="T84">
        <f>SUM(Analiza_wRankingach[[#This Row],[THE]:[Webometrics]])</f>
        <v>2</v>
      </c>
      <c r="U84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63</v>
      </c>
      <c r="V84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250</v>
      </c>
      <c r="W84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250</v>
      </c>
      <c r="X84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37</v>
      </c>
      <c r="Y84">
        <f>SUM(Analiza_wRankingach[[#This Row],[THE_RV1000]:[Webometrics_RV1000]])</f>
        <v>600</v>
      </c>
      <c r="Z84">
        <f>SUMIFS(StandardName[RankValueInTheRanking],StandardName[StandardizedName],Analiza_wRankingach[[#This Row],[Nazwa uczelni]],StandardName[Ranking],"=THE")</f>
        <v>63</v>
      </c>
      <c r="AA84">
        <f>SUMIFS(StandardName[RankValueInTheRanking],StandardName[StandardizedName],Analiza_wRankingach[[#This Row],[Nazwa uczelni]],StandardName[Ranking],"=ARWU")</f>
        <v>0</v>
      </c>
      <c r="AB84">
        <f>SUMIFS(StandardName[RankValueInTheRanking],StandardName[StandardizedName],Analiza_wRankingach[[#This Row],[Nazwa uczelni]],StandardName[Ranking],"=QS")</f>
        <v>0</v>
      </c>
      <c r="AC84">
        <f>SUMIFS(StandardName[RankValueInTheRanking],StandardName[StandardizedName],Analiza_wRankingach[[#This Row],[Nazwa uczelni]],StandardName[Ranking],"=Webometrics")</f>
        <v>37</v>
      </c>
      <c r="AD84">
        <f>SUMIFS(StandardName[IDinTheRanking],StandardName[StandardizedName],Analiza_wRankingach[[#This Row],[Nazwa uczelni]],StandardName[Ranking],"=THE")</f>
        <v>63</v>
      </c>
      <c r="AE84">
        <f>SUMIFS(StandardName[IDinTheRanking],StandardName[StandardizedName],Analiza_wRankingach[[#This Row],[Nazwa uczelni]],StandardName[Ranking],"=ARWU")</f>
        <v>0</v>
      </c>
      <c r="AF84">
        <f>SUMIFS(StandardName[IDinTheRanking],StandardName[StandardizedName],Analiza_wRankingach[[#This Row],[Nazwa uczelni]],StandardName[Ranking],"=QS")</f>
        <v>0</v>
      </c>
      <c r="AG84">
        <f>SUMIFS(StandardName[IDinTheRanking],StandardName[StandardizedName],Analiza_wRankingach[[#This Row],[Nazwa uczelni]],StandardName[Ranking],"=Webometrics")</f>
        <v>37</v>
      </c>
      <c r="AH84">
        <f>SUM(Analiza_wRankingach[[#This Row],[THE_ID]:[Webometrics_ID]])</f>
        <v>100</v>
      </c>
      <c r="AI84" t="str">
        <f>IF(Analiza_wRankingach[[#This Row],[LiczbaWystąpień]]&gt;=T85,"OK","UWAGA")</f>
        <v>OK</v>
      </c>
    </row>
    <row r="85" spans="1:35" x14ac:dyDescent="0.45">
      <c r="A85">
        <v>83</v>
      </c>
      <c r="B85" t="str">
        <f>Analiza_wRankingach[[#This Row],[Nazwa uczelni]]</f>
        <v>Universität Heidelberg</v>
      </c>
      <c r="C85">
        <f>Analiza_wRankingach[[#This Row],[WartośćKontrolna]]</f>
        <v>608</v>
      </c>
      <c r="D85">
        <f>Analiza_wRankingach[[#This Row],[THE_RV]]</f>
        <v>43</v>
      </c>
      <c r="E85">
        <f>Analiza_wRankingach[[#This Row],[ARWU_RV]]</f>
        <v>0</v>
      </c>
      <c r="F85">
        <f>Analiza_wRankingach[[#This Row],[QS_RV]]</f>
        <v>65</v>
      </c>
      <c r="G85">
        <f>Analiza_wRankingach[[#This Row],[Webometrics_RV]]</f>
        <v>0</v>
      </c>
      <c r="I85" t="s">
        <v>608</v>
      </c>
      <c r="J85">
        <v>83</v>
      </c>
      <c r="K85" t="s">
        <v>813</v>
      </c>
      <c r="L85">
        <v>83</v>
      </c>
      <c r="M85" t="s">
        <v>848</v>
      </c>
      <c r="O85" t="s">
        <v>239</v>
      </c>
      <c r="P85">
        <f>IF(SUMIFS(StandardName[IDinTheRanking],StandardName[StandardizedName],Analiza_wRankingach[[#This Row],[Nazwa uczelni]],StandardName[Ranking],"=THE")&gt;0,1,0)</f>
        <v>1</v>
      </c>
      <c r="Q85">
        <f>IF(SUMIFS(StandardName[IDinTheRanking],StandardName[StandardizedName],Analiza_wRankingach[[#This Row],[Nazwa uczelni]],StandardName[Ranking],"=ARWU")&gt;0,1,0)</f>
        <v>0</v>
      </c>
      <c r="R85">
        <f>IF(SUMIFS(StandardName[IDinTheRanking],StandardName[StandardizedName],Analiza_wRankingach[[#This Row],[Nazwa uczelni]],StandardName[Ranking],"=QS")&gt;0,1,0)</f>
        <v>1</v>
      </c>
      <c r="S85">
        <f>IF(SUMIFS(StandardName[IDinTheRanking],StandardName[StandardizedName],Analiza_wRankingach[[#This Row],[Nazwa uczelni]],StandardName[Ranking],"=Webometrics")&gt;0,1,0)</f>
        <v>0</v>
      </c>
      <c r="T85">
        <f>SUM(Analiza_wRankingach[[#This Row],[THE]:[Webometrics]])</f>
        <v>2</v>
      </c>
      <c r="U85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43</v>
      </c>
      <c r="V85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250</v>
      </c>
      <c r="W85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65</v>
      </c>
      <c r="X85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250</v>
      </c>
      <c r="Y85">
        <f>SUM(Analiza_wRankingach[[#This Row],[THE_RV1000]:[Webometrics_RV1000]])</f>
        <v>608</v>
      </c>
      <c r="Z85">
        <f>SUMIFS(StandardName[RankValueInTheRanking],StandardName[StandardizedName],Analiza_wRankingach[[#This Row],[Nazwa uczelni]],StandardName[Ranking],"=THE")</f>
        <v>43</v>
      </c>
      <c r="AA85">
        <f>SUMIFS(StandardName[RankValueInTheRanking],StandardName[StandardizedName],Analiza_wRankingach[[#This Row],[Nazwa uczelni]],StandardName[Ranking],"=ARWU")</f>
        <v>0</v>
      </c>
      <c r="AB85">
        <f>SUMIFS(StandardName[RankValueInTheRanking],StandardName[StandardizedName],Analiza_wRankingach[[#This Row],[Nazwa uczelni]],StandardName[Ranking],"=QS")</f>
        <v>65</v>
      </c>
      <c r="AC85">
        <f>SUMIFS(StandardName[RankValueInTheRanking],StandardName[StandardizedName],Analiza_wRankingach[[#This Row],[Nazwa uczelni]],StandardName[Ranking],"=Webometrics")</f>
        <v>0</v>
      </c>
      <c r="AD85">
        <f>SUMIFS(StandardName[IDinTheRanking],StandardName[StandardizedName],Analiza_wRankingach[[#This Row],[Nazwa uczelni]],StandardName[Ranking],"=THE")</f>
        <v>43</v>
      </c>
      <c r="AE85">
        <f>SUMIFS(StandardName[IDinTheRanking],StandardName[StandardizedName],Analiza_wRankingach[[#This Row],[Nazwa uczelni]],StandardName[Ranking],"=ARWU")</f>
        <v>0</v>
      </c>
      <c r="AF85">
        <f>SUMIFS(StandardName[IDinTheRanking],StandardName[StandardizedName],Analiza_wRankingach[[#This Row],[Nazwa uczelni]],StandardName[Ranking],"=QS")</f>
        <v>65</v>
      </c>
      <c r="AG85">
        <f>SUMIFS(StandardName[IDinTheRanking],StandardName[StandardizedName],Analiza_wRankingach[[#This Row],[Nazwa uczelni]],StandardName[Ranking],"=Webometrics")</f>
        <v>0</v>
      </c>
      <c r="AH85">
        <f>SUM(Analiza_wRankingach[[#This Row],[THE_ID]:[Webometrics_ID]])</f>
        <v>108</v>
      </c>
      <c r="AI85" t="str">
        <f>IF(Analiza_wRankingach[[#This Row],[LiczbaWystąpień]]&gt;=T86,"OK","UWAGA")</f>
        <v>OK</v>
      </c>
    </row>
    <row r="86" spans="1:35" x14ac:dyDescent="0.45">
      <c r="A86">
        <v>84</v>
      </c>
      <c r="B86" t="str">
        <f>Analiza_wRankingach[[#This Row],[Nazwa uczelni]]</f>
        <v>Pennsylvania State University</v>
      </c>
      <c r="C86">
        <f>Analiza_wRankingach[[#This Row],[WartośćKontrolna]]</f>
        <v>612</v>
      </c>
      <c r="D86">
        <f>Analiza_wRankingach[[#This Row],[THE_RV]]</f>
        <v>0</v>
      </c>
      <c r="E86">
        <f>Analiza_wRankingach[[#This Row],[ARWU_RV]]</f>
        <v>0</v>
      </c>
      <c r="F86">
        <f>Analiza_wRankingach[[#This Row],[QS_RV]]</f>
        <v>93</v>
      </c>
      <c r="G86">
        <f>Analiza_wRankingach[[#This Row],[Webometrics_RV]]</f>
        <v>19</v>
      </c>
      <c r="I86" t="s">
        <v>609</v>
      </c>
      <c r="J86">
        <v>84</v>
      </c>
      <c r="K86" t="s">
        <v>609</v>
      </c>
      <c r="L86">
        <v>83</v>
      </c>
      <c r="M86" t="s">
        <v>848</v>
      </c>
      <c r="O86" t="s">
        <v>765</v>
      </c>
      <c r="P86">
        <f>IF(SUMIFS(StandardName[IDinTheRanking],StandardName[StandardizedName],Analiza_wRankingach[[#This Row],[Nazwa uczelni]],StandardName[Ranking],"=THE")&gt;0,1,0)</f>
        <v>0</v>
      </c>
      <c r="Q86">
        <f>IF(SUMIFS(StandardName[IDinTheRanking],StandardName[StandardizedName],Analiza_wRankingach[[#This Row],[Nazwa uczelni]],StandardName[Ranking],"=ARWU")&gt;0,1,0)</f>
        <v>0</v>
      </c>
      <c r="R86">
        <f>IF(SUMIFS(StandardName[IDinTheRanking],StandardName[StandardizedName],Analiza_wRankingach[[#This Row],[Nazwa uczelni]],StandardName[Ranking],"=QS")&gt;0,1,0)</f>
        <v>1</v>
      </c>
      <c r="S86">
        <f>IF(SUMIFS(StandardName[IDinTheRanking],StandardName[StandardizedName],Analiza_wRankingach[[#This Row],[Nazwa uczelni]],StandardName[Ranking],"=Webometrics")&gt;0,1,0)</f>
        <v>1</v>
      </c>
      <c r="T86">
        <f>SUM(Analiza_wRankingach[[#This Row],[THE]:[Webometrics]])</f>
        <v>2</v>
      </c>
      <c r="U86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250</v>
      </c>
      <c r="V86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250</v>
      </c>
      <c r="W86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93</v>
      </c>
      <c r="X86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19</v>
      </c>
      <c r="Y86">
        <f>SUM(Analiza_wRankingach[[#This Row],[THE_RV1000]:[Webometrics_RV1000]])</f>
        <v>612</v>
      </c>
      <c r="Z86">
        <f>SUMIFS(StandardName[RankValueInTheRanking],StandardName[StandardizedName],Analiza_wRankingach[[#This Row],[Nazwa uczelni]],StandardName[Ranking],"=THE")</f>
        <v>0</v>
      </c>
      <c r="AA86">
        <f>SUMIFS(StandardName[RankValueInTheRanking],StandardName[StandardizedName],Analiza_wRankingach[[#This Row],[Nazwa uczelni]],StandardName[Ranking],"=ARWU")</f>
        <v>0</v>
      </c>
      <c r="AB86">
        <f>SUMIFS(StandardName[RankValueInTheRanking],StandardName[StandardizedName],Analiza_wRankingach[[#This Row],[Nazwa uczelni]],StandardName[Ranking],"=QS")</f>
        <v>93</v>
      </c>
      <c r="AC86">
        <f>SUMIFS(StandardName[RankValueInTheRanking],StandardName[StandardizedName],Analiza_wRankingach[[#This Row],[Nazwa uczelni]],StandardName[Ranking],"=Webometrics")</f>
        <v>19</v>
      </c>
      <c r="AD86">
        <f>SUMIFS(StandardName[IDinTheRanking],StandardName[StandardizedName],Analiza_wRankingach[[#This Row],[Nazwa uczelni]],StandardName[Ranking],"=THE")</f>
        <v>0</v>
      </c>
      <c r="AE86">
        <f>SUMIFS(StandardName[IDinTheRanking],StandardName[StandardizedName],Analiza_wRankingach[[#This Row],[Nazwa uczelni]],StandardName[Ranking],"=ARWU")</f>
        <v>0</v>
      </c>
      <c r="AF86">
        <f>SUMIFS(StandardName[IDinTheRanking],StandardName[StandardizedName],Analiza_wRankingach[[#This Row],[Nazwa uczelni]],StandardName[Ranking],"=QS")</f>
        <v>93</v>
      </c>
      <c r="AG86">
        <f>SUMIFS(StandardName[IDinTheRanking],StandardName[StandardizedName],Analiza_wRankingach[[#This Row],[Nazwa uczelni]],StandardName[Ranking],"=Webometrics")</f>
        <v>19</v>
      </c>
      <c r="AH86">
        <f>SUM(Analiza_wRankingach[[#This Row],[THE_ID]:[Webometrics_ID]])</f>
        <v>112</v>
      </c>
      <c r="AI86" t="str">
        <f>IF(Analiza_wRankingach[[#This Row],[LiczbaWystąpień]]&gt;=T87,"OK","UWAGA")</f>
        <v>OK</v>
      </c>
    </row>
    <row r="87" spans="1:35" x14ac:dyDescent="0.45">
      <c r="A87">
        <v>85</v>
      </c>
      <c r="B87" t="str">
        <f>Analiza_wRankingach[[#This Row],[Nazwa uczelni]]</f>
        <v>Boston University</v>
      </c>
      <c r="C87">
        <f>Analiza_wRankingach[[#This Row],[WartośćKontrolna]]</f>
        <v>627</v>
      </c>
      <c r="D87">
        <f>Analiza_wRankingach[[#This Row],[THE_RV]]</f>
        <v>71</v>
      </c>
      <c r="E87">
        <f>Analiza_wRankingach[[#This Row],[ARWU_RV]]</f>
        <v>0</v>
      </c>
      <c r="F87">
        <f>Analiza_wRankingach[[#This Row],[QS_RV]]</f>
        <v>0</v>
      </c>
      <c r="G87">
        <f>Analiza_wRankingach[[#This Row],[Webometrics_RV]]</f>
        <v>56</v>
      </c>
      <c r="I87" t="s">
        <v>610</v>
      </c>
      <c r="J87">
        <v>85</v>
      </c>
      <c r="K87" t="s">
        <v>610</v>
      </c>
      <c r="L87">
        <v>83</v>
      </c>
      <c r="M87" t="s">
        <v>848</v>
      </c>
      <c r="O87" t="s">
        <v>372</v>
      </c>
      <c r="P87">
        <f>IF(SUMIFS(StandardName[IDinTheRanking],StandardName[StandardizedName],Analiza_wRankingach[[#This Row],[Nazwa uczelni]],StandardName[Ranking],"=THE")&gt;0,1,0)</f>
        <v>1</v>
      </c>
      <c r="Q87">
        <f>IF(SUMIFS(StandardName[IDinTheRanking],StandardName[StandardizedName],Analiza_wRankingach[[#This Row],[Nazwa uczelni]],StandardName[Ranking],"=ARWU")&gt;0,1,0)</f>
        <v>0</v>
      </c>
      <c r="R87">
        <f>IF(SUMIFS(StandardName[IDinTheRanking],StandardName[StandardizedName],Analiza_wRankingach[[#This Row],[Nazwa uczelni]],StandardName[Ranking],"=QS")&gt;0,1,0)</f>
        <v>0</v>
      </c>
      <c r="S87">
        <f>IF(SUMIFS(StandardName[IDinTheRanking],StandardName[StandardizedName],Analiza_wRankingach[[#This Row],[Nazwa uczelni]],StandardName[Ranking],"=Webometrics")&gt;0,1,0)</f>
        <v>1</v>
      </c>
      <c r="T87">
        <f>SUM(Analiza_wRankingach[[#This Row],[THE]:[Webometrics]])</f>
        <v>2</v>
      </c>
      <c r="U87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71</v>
      </c>
      <c r="V87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250</v>
      </c>
      <c r="W87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250</v>
      </c>
      <c r="X87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56</v>
      </c>
      <c r="Y87">
        <f>SUM(Analiza_wRankingach[[#This Row],[THE_RV1000]:[Webometrics_RV1000]])</f>
        <v>627</v>
      </c>
      <c r="Z87">
        <f>SUMIFS(StandardName[RankValueInTheRanking],StandardName[StandardizedName],Analiza_wRankingach[[#This Row],[Nazwa uczelni]],StandardName[Ranking],"=THE")</f>
        <v>71</v>
      </c>
      <c r="AA87">
        <f>SUMIFS(StandardName[RankValueInTheRanking],StandardName[StandardizedName],Analiza_wRankingach[[#This Row],[Nazwa uczelni]],StandardName[Ranking],"=ARWU")</f>
        <v>0</v>
      </c>
      <c r="AB87">
        <f>SUMIFS(StandardName[RankValueInTheRanking],StandardName[StandardizedName],Analiza_wRankingach[[#This Row],[Nazwa uczelni]],StandardName[Ranking],"=QS")</f>
        <v>0</v>
      </c>
      <c r="AC87">
        <f>SUMIFS(StandardName[RankValueInTheRanking],StandardName[StandardizedName],Analiza_wRankingach[[#This Row],[Nazwa uczelni]],StandardName[Ranking],"=Webometrics")</f>
        <v>56</v>
      </c>
      <c r="AD87">
        <f>SUMIFS(StandardName[IDinTheRanking],StandardName[StandardizedName],Analiza_wRankingach[[#This Row],[Nazwa uczelni]],StandardName[Ranking],"=THE")</f>
        <v>71</v>
      </c>
      <c r="AE87">
        <f>SUMIFS(StandardName[IDinTheRanking],StandardName[StandardizedName],Analiza_wRankingach[[#This Row],[Nazwa uczelni]],StandardName[Ranking],"=ARWU")</f>
        <v>0</v>
      </c>
      <c r="AF87">
        <f>SUMIFS(StandardName[IDinTheRanking],StandardName[StandardizedName],Analiza_wRankingach[[#This Row],[Nazwa uczelni]],StandardName[Ranking],"=QS")</f>
        <v>0</v>
      </c>
      <c r="AG87">
        <f>SUMIFS(StandardName[IDinTheRanking],StandardName[StandardizedName],Analiza_wRankingach[[#This Row],[Nazwa uczelni]],StandardName[Ranking],"=Webometrics")</f>
        <v>56</v>
      </c>
      <c r="AH87">
        <f>SUM(Analiza_wRankingach[[#This Row],[THE_ID]:[Webometrics_ID]])</f>
        <v>127</v>
      </c>
      <c r="AI87" t="str">
        <f>IF(Analiza_wRankingach[[#This Row],[LiczbaWystąpień]]&gt;=T88,"OK","UWAGA")</f>
        <v>OK</v>
      </c>
    </row>
    <row r="88" spans="1:35" x14ac:dyDescent="0.45">
      <c r="A88">
        <v>86</v>
      </c>
      <c r="B88" t="str">
        <f>Analiza_wRankingach[[#This Row],[Nazwa uczelni]]</f>
        <v>University of Pittsburgh</v>
      </c>
      <c r="C88">
        <f>Analiza_wRankingach[[#This Row],[WartośćKontrolna]]</f>
        <v>628</v>
      </c>
      <c r="D88">
        <f>Analiza_wRankingach[[#This Row],[THE_RV]]</f>
        <v>0</v>
      </c>
      <c r="E88">
        <f>Analiza_wRankingach[[#This Row],[ARWU_RV]]</f>
        <v>82</v>
      </c>
      <c r="F88">
        <f>Analiza_wRankingach[[#This Row],[QS_RV]]</f>
        <v>0</v>
      </c>
      <c r="G88">
        <f>Analiza_wRankingach[[#This Row],[Webometrics_RV]]</f>
        <v>46</v>
      </c>
      <c r="I88" t="s">
        <v>612</v>
      </c>
      <c r="J88">
        <v>86</v>
      </c>
      <c r="K88" t="s">
        <v>612</v>
      </c>
      <c r="L88">
        <v>83</v>
      </c>
      <c r="M88" t="s">
        <v>848</v>
      </c>
      <c r="O88" t="s">
        <v>607</v>
      </c>
      <c r="P88">
        <f>IF(SUMIFS(StandardName[IDinTheRanking],StandardName[StandardizedName],Analiza_wRankingach[[#This Row],[Nazwa uczelni]],StandardName[Ranking],"=THE")&gt;0,1,0)</f>
        <v>0</v>
      </c>
      <c r="Q88">
        <f>IF(SUMIFS(StandardName[IDinTheRanking],StandardName[StandardizedName],Analiza_wRankingach[[#This Row],[Nazwa uczelni]],StandardName[Ranking],"=ARWU")&gt;0,1,0)</f>
        <v>1</v>
      </c>
      <c r="R88">
        <f>IF(SUMIFS(StandardName[IDinTheRanking],StandardName[StandardizedName],Analiza_wRankingach[[#This Row],[Nazwa uczelni]],StandardName[Ranking],"=QS")&gt;0,1,0)</f>
        <v>0</v>
      </c>
      <c r="S88">
        <f>IF(SUMIFS(StandardName[IDinTheRanking],StandardName[StandardizedName],Analiza_wRankingach[[#This Row],[Nazwa uczelni]],StandardName[Ranking],"=Webometrics")&gt;0,1,0)</f>
        <v>1</v>
      </c>
      <c r="T88">
        <f>SUM(Analiza_wRankingach[[#This Row],[THE]:[Webometrics]])</f>
        <v>2</v>
      </c>
      <c r="U88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250</v>
      </c>
      <c r="V88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82</v>
      </c>
      <c r="W88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250</v>
      </c>
      <c r="X88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46</v>
      </c>
      <c r="Y88">
        <f>SUM(Analiza_wRankingach[[#This Row],[THE_RV1000]:[Webometrics_RV1000]])</f>
        <v>628</v>
      </c>
      <c r="Z88">
        <f>SUMIFS(StandardName[RankValueInTheRanking],StandardName[StandardizedName],Analiza_wRankingach[[#This Row],[Nazwa uczelni]],StandardName[Ranking],"=THE")</f>
        <v>0</v>
      </c>
      <c r="AA88">
        <f>SUMIFS(StandardName[RankValueInTheRanking],StandardName[StandardizedName],Analiza_wRankingach[[#This Row],[Nazwa uczelni]],StandardName[Ranking],"=ARWU")</f>
        <v>82</v>
      </c>
      <c r="AB88">
        <f>SUMIFS(StandardName[RankValueInTheRanking],StandardName[StandardizedName],Analiza_wRankingach[[#This Row],[Nazwa uczelni]],StandardName[Ranking],"=QS")</f>
        <v>0</v>
      </c>
      <c r="AC88">
        <f>SUMIFS(StandardName[RankValueInTheRanking],StandardName[StandardizedName],Analiza_wRankingach[[#This Row],[Nazwa uczelni]],StandardName[Ranking],"=Webometrics")</f>
        <v>46</v>
      </c>
      <c r="AD88">
        <f>SUMIFS(StandardName[IDinTheRanking],StandardName[StandardizedName],Analiza_wRankingach[[#This Row],[Nazwa uczelni]],StandardName[Ranking],"=THE")</f>
        <v>0</v>
      </c>
      <c r="AE88">
        <f>SUMIFS(StandardName[IDinTheRanking],StandardName[StandardizedName],Analiza_wRankingach[[#This Row],[Nazwa uczelni]],StandardName[Ranking],"=ARWU")</f>
        <v>82</v>
      </c>
      <c r="AF88">
        <f>SUMIFS(StandardName[IDinTheRanking],StandardName[StandardizedName],Analiza_wRankingach[[#This Row],[Nazwa uczelni]],StandardName[Ranking],"=QS")</f>
        <v>0</v>
      </c>
      <c r="AG88">
        <f>SUMIFS(StandardName[IDinTheRanking],StandardName[StandardizedName],Analiza_wRankingach[[#This Row],[Nazwa uczelni]],StandardName[Ranking],"=Webometrics")</f>
        <v>46</v>
      </c>
      <c r="AH88">
        <f>SUM(Analiza_wRankingach[[#This Row],[THE_ID]:[Webometrics_ID]])</f>
        <v>128</v>
      </c>
      <c r="AI88" t="str">
        <f>IF(Analiza_wRankingach[[#This Row],[LiczbaWystąpień]]&gt;=T89,"OK","UWAGA")</f>
        <v>OK</v>
      </c>
    </row>
    <row r="89" spans="1:35" x14ac:dyDescent="0.45">
      <c r="A89">
        <v>87</v>
      </c>
      <c r="B89" t="str">
        <f>Analiza_wRankingach[[#This Row],[Nazwa uczelni]]</f>
        <v>Purdue University</v>
      </c>
      <c r="C89">
        <f>Analiza_wRankingach[[#This Row],[WartośćKontrolna]]</f>
        <v>628</v>
      </c>
      <c r="D89">
        <f>Analiza_wRankingach[[#This Row],[THE_RV]]</f>
        <v>0</v>
      </c>
      <c r="E89">
        <f>Analiza_wRankingach[[#This Row],[ARWU_RV]]</f>
        <v>83</v>
      </c>
      <c r="F89">
        <f>Analiza_wRankingach[[#This Row],[QS_RV]]</f>
        <v>0</v>
      </c>
      <c r="G89">
        <f>Analiza_wRankingach[[#This Row],[Webometrics_RV]]</f>
        <v>45</v>
      </c>
      <c r="I89" t="s">
        <v>408</v>
      </c>
      <c r="J89">
        <v>87</v>
      </c>
      <c r="K89" t="s">
        <v>408</v>
      </c>
      <c r="L89">
        <v>87</v>
      </c>
      <c r="M89" t="s">
        <v>848</v>
      </c>
      <c r="O89" t="s">
        <v>813</v>
      </c>
      <c r="P89">
        <f>IF(SUMIFS(StandardName[IDinTheRanking],StandardName[StandardizedName],Analiza_wRankingach[[#This Row],[Nazwa uczelni]],StandardName[Ranking],"=THE")&gt;0,1,0)</f>
        <v>0</v>
      </c>
      <c r="Q89">
        <f>IF(SUMIFS(StandardName[IDinTheRanking],StandardName[StandardizedName],Analiza_wRankingach[[#This Row],[Nazwa uczelni]],StandardName[Ranking],"=ARWU")&gt;0,1,0)</f>
        <v>1</v>
      </c>
      <c r="R89">
        <f>IF(SUMIFS(StandardName[IDinTheRanking],StandardName[StandardizedName],Analiza_wRankingach[[#This Row],[Nazwa uczelni]],StandardName[Ranking],"=QS")&gt;0,1,0)</f>
        <v>0</v>
      </c>
      <c r="S89">
        <f>IF(SUMIFS(StandardName[IDinTheRanking],StandardName[StandardizedName],Analiza_wRankingach[[#This Row],[Nazwa uczelni]],StandardName[Ranking],"=Webometrics")&gt;0,1,0)</f>
        <v>1</v>
      </c>
      <c r="T89">
        <f>SUM(Analiza_wRankingach[[#This Row],[THE]:[Webometrics]])</f>
        <v>2</v>
      </c>
      <c r="U89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250</v>
      </c>
      <c r="V89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83</v>
      </c>
      <c r="W89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250</v>
      </c>
      <c r="X89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45</v>
      </c>
      <c r="Y89">
        <f>SUM(Analiza_wRankingach[[#This Row],[THE_RV1000]:[Webometrics_RV1000]])</f>
        <v>628</v>
      </c>
      <c r="Z89">
        <f>SUMIFS(StandardName[RankValueInTheRanking],StandardName[StandardizedName],Analiza_wRankingach[[#This Row],[Nazwa uczelni]],StandardName[Ranking],"=THE")</f>
        <v>0</v>
      </c>
      <c r="AA89">
        <f>SUMIFS(StandardName[RankValueInTheRanking],StandardName[StandardizedName],Analiza_wRankingach[[#This Row],[Nazwa uczelni]],StandardName[Ranking],"=ARWU")</f>
        <v>83</v>
      </c>
      <c r="AB89">
        <f>SUMIFS(StandardName[RankValueInTheRanking],StandardName[StandardizedName],Analiza_wRankingach[[#This Row],[Nazwa uczelni]],StandardName[Ranking],"=QS")</f>
        <v>0</v>
      </c>
      <c r="AC89">
        <f>SUMIFS(StandardName[RankValueInTheRanking],StandardName[StandardizedName],Analiza_wRankingach[[#This Row],[Nazwa uczelni]],StandardName[Ranking],"=Webometrics")</f>
        <v>45</v>
      </c>
      <c r="AD89">
        <f>SUMIFS(StandardName[IDinTheRanking],StandardName[StandardizedName],Analiza_wRankingach[[#This Row],[Nazwa uczelni]],StandardName[Ranking],"=THE")</f>
        <v>0</v>
      </c>
      <c r="AE89">
        <f>SUMIFS(StandardName[IDinTheRanking],StandardName[StandardizedName],Analiza_wRankingach[[#This Row],[Nazwa uczelni]],StandardName[Ranking],"=ARWU")</f>
        <v>83</v>
      </c>
      <c r="AF89">
        <f>SUMIFS(StandardName[IDinTheRanking],StandardName[StandardizedName],Analiza_wRankingach[[#This Row],[Nazwa uczelni]],StandardName[Ranking],"=QS")</f>
        <v>0</v>
      </c>
      <c r="AG89">
        <f>SUMIFS(StandardName[IDinTheRanking],StandardName[StandardizedName],Analiza_wRankingach[[#This Row],[Nazwa uczelni]],StandardName[Ranking],"=Webometrics")</f>
        <v>45</v>
      </c>
      <c r="AH89">
        <f>SUM(Analiza_wRankingach[[#This Row],[THE_ID]:[Webometrics_ID]])</f>
        <v>128</v>
      </c>
      <c r="AI89" t="str">
        <f>IF(Analiza_wRankingach[[#This Row],[LiczbaWystąpień]]&gt;=T90,"OK","UWAGA")</f>
        <v>OK</v>
      </c>
    </row>
    <row r="90" spans="1:35" x14ac:dyDescent="0.45">
      <c r="A90">
        <v>88</v>
      </c>
      <c r="B90" t="str">
        <f>Analiza_wRankingach[[#This Row],[Nazwa uczelni]]</f>
        <v>University of Florida</v>
      </c>
      <c r="C90">
        <f>Analiza_wRankingach[[#This Row],[WartośćKontrolna]]</f>
        <v>628</v>
      </c>
      <c r="D90">
        <f>Analiza_wRankingach[[#This Row],[THE_RV]]</f>
        <v>0</v>
      </c>
      <c r="E90">
        <f>Analiza_wRankingach[[#This Row],[ARWU_RV]]</f>
        <v>94</v>
      </c>
      <c r="F90">
        <f>Analiza_wRankingach[[#This Row],[QS_RV]]</f>
        <v>0</v>
      </c>
      <c r="G90">
        <f>Analiza_wRankingach[[#This Row],[Webometrics_RV]]</f>
        <v>34</v>
      </c>
      <c r="I90" t="s">
        <v>614</v>
      </c>
      <c r="J90">
        <v>88</v>
      </c>
      <c r="K90" t="s">
        <v>614</v>
      </c>
      <c r="L90">
        <v>88</v>
      </c>
      <c r="M90" t="s">
        <v>848</v>
      </c>
      <c r="O90" t="s">
        <v>619</v>
      </c>
      <c r="P90">
        <f>IF(SUMIFS(StandardName[IDinTheRanking],StandardName[StandardizedName],Analiza_wRankingach[[#This Row],[Nazwa uczelni]],StandardName[Ranking],"=THE")&gt;0,1,0)</f>
        <v>0</v>
      </c>
      <c r="Q90">
        <f>IF(SUMIFS(StandardName[IDinTheRanking],StandardName[StandardizedName],Analiza_wRankingach[[#This Row],[Nazwa uczelni]],StandardName[Ranking],"=ARWU")&gt;0,1,0)</f>
        <v>1</v>
      </c>
      <c r="R90">
        <f>IF(SUMIFS(StandardName[IDinTheRanking],StandardName[StandardizedName],Analiza_wRankingach[[#This Row],[Nazwa uczelni]],StandardName[Ranking],"=QS")&gt;0,1,0)</f>
        <v>0</v>
      </c>
      <c r="S90">
        <f>IF(SUMIFS(StandardName[IDinTheRanking],StandardName[StandardizedName],Analiza_wRankingach[[#This Row],[Nazwa uczelni]],StandardName[Ranking],"=Webometrics")&gt;0,1,0)</f>
        <v>1</v>
      </c>
      <c r="T90">
        <f>SUM(Analiza_wRankingach[[#This Row],[THE]:[Webometrics]])</f>
        <v>2</v>
      </c>
      <c r="U90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250</v>
      </c>
      <c r="V90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94</v>
      </c>
      <c r="W90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250</v>
      </c>
      <c r="X90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34</v>
      </c>
      <c r="Y90">
        <f>SUM(Analiza_wRankingach[[#This Row],[THE_RV1000]:[Webometrics_RV1000]])</f>
        <v>628</v>
      </c>
      <c r="Z90">
        <f>SUMIFS(StandardName[RankValueInTheRanking],StandardName[StandardizedName],Analiza_wRankingach[[#This Row],[Nazwa uczelni]],StandardName[Ranking],"=THE")</f>
        <v>0</v>
      </c>
      <c r="AA90">
        <f>SUMIFS(StandardName[RankValueInTheRanking],StandardName[StandardizedName],Analiza_wRankingach[[#This Row],[Nazwa uczelni]],StandardName[Ranking],"=ARWU")</f>
        <v>94</v>
      </c>
      <c r="AB90">
        <f>SUMIFS(StandardName[RankValueInTheRanking],StandardName[StandardizedName],Analiza_wRankingach[[#This Row],[Nazwa uczelni]],StandardName[Ranking],"=QS")</f>
        <v>0</v>
      </c>
      <c r="AC90">
        <f>SUMIFS(StandardName[RankValueInTheRanking],StandardName[StandardizedName],Analiza_wRankingach[[#This Row],[Nazwa uczelni]],StandardName[Ranking],"=Webometrics")</f>
        <v>34</v>
      </c>
      <c r="AD90">
        <f>SUMIFS(StandardName[IDinTheRanking],StandardName[StandardizedName],Analiza_wRankingach[[#This Row],[Nazwa uczelni]],StandardName[Ranking],"=THE")</f>
        <v>0</v>
      </c>
      <c r="AE90">
        <f>SUMIFS(StandardName[IDinTheRanking],StandardName[StandardizedName],Analiza_wRankingach[[#This Row],[Nazwa uczelni]],StandardName[Ranking],"=ARWU")</f>
        <v>94</v>
      </c>
      <c r="AF90">
        <f>SUMIFS(StandardName[IDinTheRanking],StandardName[StandardizedName],Analiza_wRankingach[[#This Row],[Nazwa uczelni]],StandardName[Ranking],"=QS")</f>
        <v>0</v>
      </c>
      <c r="AG90">
        <f>SUMIFS(StandardName[IDinTheRanking],StandardName[StandardizedName],Analiza_wRankingach[[#This Row],[Nazwa uczelni]],StandardName[Ranking],"=Webometrics")</f>
        <v>34</v>
      </c>
      <c r="AH90">
        <f>SUM(Analiza_wRankingach[[#This Row],[THE_ID]:[Webometrics_ID]])</f>
        <v>128</v>
      </c>
      <c r="AI90" t="str">
        <f>IF(Analiza_wRankingach[[#This Row],[LiczbaWystąpień]]&gt;=T91,"OK","UWAGA")</f>
        <v>OK</v>
      </c>
    </row>
    <row r="91" spans="1:35" x14ac:dyDescent="0.45">
      <c r="A91">
        <v>89</v>
      </c>
      <c r="B91" t="str">
        <f>Analiza_wRankingach[[#This Row],[Nazwa uczelni]]</f>
        <v>KAIST - Korea Advanced Institute of Science &amp; Technology</v>
      </c>
      <c r="C91">
        <f>Analiza_wRankingach[[#This Row],[WartośćKontrolna]]</f>
        <v>633</v>
      </c>
      <c r="D91">
        <f>Analiza_wRankingach[[#This Row],[THE_RV]]</f>
        <v>91</v>
      </c>
      <c r="E91">
        <f>Analiza_wRankingach[[#This Row],[ARWU_RV]]</f>
        <v>0</v>
      </c>
      <c r="F91">
        <f>Analiza_wRankingach[[#This Row],[QS_RV]]</f>
        <v>42</v>
      </c>
      <c r="G91">
        <f>Analiza_wRankingach[[#This Row],[Webometrics_RV]]</f>
        <v>0</v>
      </c>
      <c r="I91" t="s">
        <v>615</v>
      </c>
      <c r="J91">
        <v>89</v>
      </c>
      <c r="K91" t="s">
        <v>615</v>
      </c>
      <c r="L91">
        <v>89</v>
      </c>
      <c r="M91" t="s">
        <v>848</v>
      </c>
      <c r="O91" t="s">
        <v>689</v>
      </c>
      <c r="P91">
        <f>IF(SUMIFS(StandardName[IDinTheRanking],StandardName[StandardizedName],Analiza_wRankingach[[#This Row],[Nazwa uczelni]],StandardName[Ranking],"=THE")&gt;0,1,0)</f>
        <v>1</v>
      </c>
      <c r="Q91">
        <f>IF(SUMIFS(StandardName[IDinTheRanking],StandardName[StandardizedName],Analiza_wRankingach[[#This Row],[Nazwa uczelni]],StandardName[Ranking],"=ARWU")&gt;0,1,0)</f>
        <v>0</v>
      </c>
      <c r="R91">
        <f>IF(SUMIFS(StandardName[IDinTheRanking],StandardName[StandardizedName],Analiza_wRankingach[[#This Row],[Nazwa uczelni]],StandardName[Ranking],"=QS")&gt;0,1,0)</f>
        <v>1</v>
      </c>
      <c r="S91">
        <f>IF(SUMIFS(StandardName[IDinTheRanking],StandardName[StandardizedName],Analiza_wRankingach[[#This Row],[Nazwa uczelni]],StandardName[Ranking],"=Webometrics")&gt;0,1,0)</f>
        <v>0</v>
      </c>
      <c r="T91">
        <f>SUM(Analiza_wRankingach[[#This Row],[THE]:[Webometrics]])</f>
        <v>2</v>
      </c>
      <c r="U91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91</v>
      </c>
      <c r="V91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250</v>
      </c>
      <c r="W91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42</v>
      </c>
      <c r="X91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250</v>
      </c>
      <c r="Y91">
        <f>SUM(Analiza_wRankingach[[#This Row],[THE_RV1000]:[Webometrics_RV1000]])</f>
        <v>633</v>
      </c>
      <c r="Z91">
        <f>SUMIFS(StandardName[RankValueInTheRanking],StandardName[StandardizedName],Analiza_wRankingach[[#This Row],[Nazwa uczelni]],StandardName[Ranking],"=THE")</f>
        <v>91</v>
      </c>
      <c r="AA91">
        <f>SUMIFS(StandardName[RankValueInTheRanking],StandardName[StandardizedName],Analiza_wRankingach[[#This Row],[Nazwa uczelni]],StandardName[Ranking],"=ARWU")</f>
        <v>0</v>
      </c>
      <c r="AB91">
        <f>SUMIFS(StandardName[RankValueInTheRanking],StandardName[StandardizedName],Analiza_wRankingach[[#This Row],[Nazwa uczelni]],StandardName[Ranking],"=QS")</f>
        <v>42</v>
      </c>
      <c r="AC91">
        <f>SUMIFS(StandardName[RankValueInTheRanking],StandardName[StandardizedName],Analiza_wRankingach[[#This Row],[Nazwa uczelni]],StandardName[Ranking],"=Webometrics")</f>
        <v>0</v>
      </c>
      <c r="AD91">
        <f>SUMIFS(StandardName[IDinTheRanking],StandardName[StandardizedName],Analiza_wRankingach[[#This Row],[Nazwa uczelni]],StandardName[Ranking],"=THE")</f>
        <v>92</v>
      </c>
      <c r="AE91">
        <f>SUMIFS(StandardName[IDinTheRanking],StandardName[StandardizedName],Analiza_wRankingach[[#This Row],[Nazwa uczelni]],StandardName[Ranking],"=ARWU")</f>
        <v>0</v>
      </c>
      <c r="AF91">
        <f>SUMIFS(StandardName[IDinTheRanking],StandardName[StandardizedName],Analiza_wRankingach[[#This Row],[Nazwa uczelni]],StandardName[Ranking],"=QS")</f>
        <v>42</v>
      </c>
      <c r="AG91">
        <f>SUMIFS(StandardName[IDinTheRanking],StandardName[StandardizedName],Analiza_wRankingach[[#This Row],[Nazwa uczelni]],StandardName[Ranking],"=Webometrics")</f>
        <v>0</v>
      </c>
      <c r="AH91">
        <f>SUM(Analiza_wRankingach[[#This Row],[THE_ID]:[Webometrics_ID]])</f>
        <v>134</v>
      </c>
      <c r="AI91" t="str">
        <f>IF(Analiza_wRankingach[[#This Row],[LiczbaWystąpień]]&gt;=T92,"OK","UWAGA")</f>
        <v>OK</v>
      </c>
    </row>
    <row r="92" spans="1:35" x14ac:dyDescent="0.45">
      <c r="A92">
        <v>90</v>
      </c>
      <c r="B92" t="str">
        <f>Analiza_wRankingach[[#This Row],[Nazwa uczelni]]</f>
        <v>Institut Polytechnique de Paris</v>
      </c>
      <c r="C92">
        <f>Analiza_wRankingach[[#This Row],[WartośćKontrolna]]</f>
        <v>643</v>
      </c>
      <c r="D92">
        <f>Analiza_wRankingach[[#This Row],[THE_RV]]</f>
        <v>95</v>
      </c>
      <c r="E92">
        <f>Analiza_wRankingach[[#This Row],[ARWU_RV]]</f>
        <v>0</v>
      </c>
      <c r="F92">
        <f>Analiza_wRankingach[[#This Row],[QS_RV]]</f>
        <v>48</v>
      </c>
      <c r="G92">
        <f>Analiza_wRankingach[[#This Row],[Webometrics_RV]]</f>
        <v>0</v>
      </c>
      <c r="I92" t="s">
        <v>428</v>
      </c>
      <c r="J92">
        <v>90</v>
      </c>
      <c r="K92" t="s">
        <v>428</v>
      </c>
      <c r="L92">
        <v>90</v>
      </c>
      <c r="M92" t="s">
        <v>848</v>
      </c>
      <c r="O92" t="s">
        <v>466</v>
      </c>
      <c r="P92">
        <f>IF(SUMIFS(StandardName[IDinTheRanking],StandardName[StandardizedName],Analiza_wRankingach[[#This Row],[Nazwa uczelni]],StandardName[Ranking],"=THE")&gt;0,1,0)</f>
        <v>1</v>
      </c>
      <c r="Q92">
        <f>IF(SUMIFS(StandardName[IDinTheRanking],StandardName[StandardizedName],Analiza_wRankingach[[#This Row],[Nazwa uczelni]],StandardName[Ranking],"=ARWU")&gt;0,1,0)</f>
        <v>0</v>
      </c>
      <c r="R92">
        <f>IF(SUMIFS(StandardName[IDinTheRanking],StandardName[StandardizedName],Analiza_wRankingach[[#This Row],[Nazwa uczelni]],StandardName[Ranking],"=QS")&gt;0,1,0)</f>
        <v>1</v>
      </c>
      <c r="S92">
        <f>IF(SUMIFS(StandardName[IDinTheRanking],StandardName[StandardizedName],Analiza_wRankingach[[#This Row],[Nazwa uczelni]],StandardName[Ranking],"=Webometrics")&gt;0,1,0)</f>
        <v>0</v>
      </c>
      <c r="T92">
        <f>SUM(Analiza_wRankingach[[#This Row],[THE]:[Webometrics]])</f>
        <v>2</v>
      </c>
      <c r="U92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95</v>
      </c>
      <c r="V92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250</v>
      </c>
      <c r="W92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48</v>
      </c>
      <c r="X92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250</v>
      </c>
      <c r="Y92">
        <f>SUM(Analiza_wRankingach[[#This Row],[THE_RV1000]:[Webometrics_RV1000]])</f>
        <v>643</v>
      </c>
      <c r="Z92">
        <f>SUMIFS(StandardName[RankValueInTheRanking],StandardName[StandardizedName],Analiza_wRankingach[[#This Row],[Nazwa uczelni]],StandardName[Ranking],"=THE")</f>
        <v>95</v>
      </c>
      <c r="AA92">
        <f>SUMIFS(StandardName[RankValueInTheRanking],StandardName[StandardizedName],Analiza_wRankingach[[#This Row],[Nazwa uczelni]],StandardName[Ranking],"=ARWU")</f>
        <v>0</v>
      </c>
      <c r="AB92">
        <f>SUMIFS(StandardName[RankValueInTheRanking],StandardName[StandardizedName],Analiza_wRankingach[[#This Row],[Nazwa uczelni]],StandardName[Ranking],"=QS")</f>
        <v>48</v>
      </c>
      <c r="AC92">
        <f>SUMIFS(StandardName[RankValueInTheRanking],StandardName[StandardizedName],Analiza_wRankingach[[#This Row],[Nazwa uczelni]],StandardName[Ranking],"=Webometrics")</f>
        <v>0</v>
      </c>
      <c r="AD92">
        <f>SUMIFS(StandardName[IDinTheRanking],StandardName[StandardizedName],Analiza_wRankingach[[#This Row],[Nazwa uczelni]],StandardName[Ranking],"=THE")</f>
        <v>96</v>
      </c>
      <c r="AE92">
        <f>SUMIFS(StandardName[IDinTheRanking],StandardName[StandardizedName],Analiza_wRankingach[[#This Row],[Nazwa uczelni]],StandardName[Ranking],"=ARWU")</f>
        <v>0</v>
      </c>
      <c r="AF92">
        <f>SUMIFS(StandardName[IDinTheRanking],StandardName[StandardizedName],Analiza_wRankingach[[#This Row],[Nazwa uczelni]],StandardName[Ranking],"=QS")</f>
        <v>48</v>
      </c>
      <c r="AG92">
        <f>SUMIFS(StandardName[IDinTheRanking],StandardName[StandardizedName],Analiza_wRankingach[[#This Row],[Nazwa uczelni]],StandardName[Ranking],"=Webometrics")</f>
        <v>0</v>
      </c>
      <c r="AH92">
        <f>SUM(Analiza_wRankingach[[#This Row],[THE_ID]:[Webometrics_ID]])</f>
        <v>144</v>
      </c>
      <c r="AI92" t="str">
        <f>IF(Analiza_wRankingach[[#This Row],[LiczbaWystąpień]]&gt;=T93,"OK","UWAGA")</f>
        <v>OK</v>
      </c>
    </row>
    <row r="93" spans="1:35" x14ac:dyDescent="0.45">
      <c r="A93">
        <v>91</v>
      </c>
      <c r="B93" t="str">
        <f>Analiza_wRankingach[[#This Row],[Nazwa uczelni]]</f>
        <v>Hong Kong Polytechnic University</v>
      </c>
      <c r="C93">
        <f>Analiza_wRankingach[[#This Row],[WartośćKontrolna]]</f>
        <v>644</v>
      </c>
      <c r="D93">
        <f>Analiza_wRankingach[[#This Row],[THE_RV]]</f>
        <v>79</v>
      </c>
      <c r="E93">
        <f>Analiza_wRankingach[[#This Row],[ARWU_RV]]</f>
        <v>0</v>
      </c>
      <c r="F93">
        <f>Analiza_wRankingach[[#This Row],[QS_RV]]</f>
        <v>65</v>
      </c>
      <c r="G93">
        <f>Analiza_wRankingach[[#This Row],[Webometrics_RV]]</f>
        <v>0</v>
      </c>
      <c r="I93" t="s">
        <v>616</v>
      </c>
      <c r="J93">
        <v>91</v>
      </c>
      <c r="K93" t="s">
        <v>616</v>
      </c>
      <c r="L93">
        <v>90</v>
      </c>
      <c r="M93" t="s">
        <v>848</v>
      </c>
      <c r="O93" t="s">
        <v>403</v>
      </c>
      <c r="P93">
        <f>IF(SUMIFS(StandardName[IDinTheRanking],StandardName[StandardizedName],Analiza_wRankingach[[#This Row],[Nazwa uczelni]],StandardName[Ranking],"=THE")&gt;0,1,0)</f>
        <v>1</v>
      </c>
      <c r="Q93">
        <f>IF(SUMIFS(StandardName[IDinTheRanking],StandardName[StandardizedName],Analiza_wRankingach[[#This Row],[Nazwa uczelni]],StandardName[Ranking],"=ARWU")&gt;0,1,0)</f>
        <v>0</v>
      </c>
      <c r="R93">
        <f>IF(SUMIFS(StandardName[IDinTheRanking],StandardName[StandardizedName],Analiza_wRankingach[[#This Row],[Nazwa uczelni]],StandardName[Ranking],"=QS")&gt;0,1,0)</f>
        <v>1</v>
      </c>
      <c r="S93">
        <f>IF(SUMIFS(StandardName[IDinTheRanking],StandardName[StandardizedName],Analiza_wRankingach[[#This Row],[Nazwa uczelni]],StandardName[Ranking],"=Webometrics")&gt;0,1,0)</f>
        <v>0</v>
      </c>
      <c r="T93">
        <f>SUM(Analiza_wRankingach[[#This Row],[THE]:[Webometrics]])</f>
        <v>2</v>
      </c>
      <c r="U93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79</v>
      </c>
      <c r="V93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250</v>
      </c>
      <c r="W93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65</v>
      </c>
      <c r="X93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250</v>
      </c>
      <c r="Y93">
        <f>SUM(Analiza_wRankingach[[#This Row],[THE_RV1000]:[Webometrics_RV1000]])</f>
        <v>644</v>
      </c>
      <c r="Z93">
        <f>SUMIFS(StandardName[RankValueInTheRanking],StandardName[StandardizedName],Analiza_wRankingach[[#This Row],[Nazwa uczelni]],StandardName[Ranking],"=THE")</f>
        <v>79</v>
      </c>
      <c r="AA93">
        <f>SUMIFS(StandardName[RankValueInTheRanking],StandardName[StandardizedName],Analiza_wRankingach[[#This Row],[Nazwa uczelni]],StandardName[Ranking],"=ARWU")</f>
        <v>0</v>
      </c>
      <c r="AB93">
        <f>SUMIFS(StandardName[RankValueInTheRanking],StandardName[StandardizedName],Analiza_wRankingach[[#This Row],[Nazwa uczelni]],StandardName[Ranking],"=QS")</f>
        <v>65</v>
      </c>
      <c r="AC93">
        <f>SUMIFS(StandardName[RankValueInTheRanking],StandardName[StandardizedName],Analiza_wRankingach[[#This Row],[Nazwa uczelni]],StandardName[Ranking],"=Webometrics")</f>
        <v>0</v>
      </c>
      <c r="AD93">
        <f>SUMIFS(StandardName[IDinTheRanking],StandardName[StandardizedName],Analiza_wRankingach[[#This Row],[Nazwa uczelni]],StandardName[Ranking],"=THE")</f>
        <v>79</v>
      </c>
      <c r="AE93">
        <f>SUMIFS(StandardName[IDinTheRanking],StandardName[StandardizedName],Analiza_wRankingach[[#This Row],[Nazwa uczelni]],StandardName[Ranking],"=ARWU")</f>
        <v>0</v>
      </c>
      <c r="AF93">
        <f>SUMIFS(StandardName[IDinTheRanking],StandardName[StandardizedName],Analiza_wRankingach[[#This Row],[Nazwa uczelni]],StandardName[Ranking],"=QS")</f>
        <v>66</v>
      </c>
      <c r="AG93">
        <f>SUMIFS(StandardName[IDinTheRanking],StandardName[StandardizedName],Analiza_wRankingach[[#This Row],[Nazwa uczelni]],StandardName[Ranking],"=Webometrics")</f>
        <v>0</v>
      </c>
      <c r="AH93">
        <f>SUM(Analiza_wRankingach[[#This Row],[THE_ID]:[Webometrics_ID]])</f>
        <v>145</v>
      </c>
      <c r="AI93" t="str">
        <f>IF(Analiza_wRankingach[[#This Row],[LiczbaWystąpień]]&gt;=T94,"OK","UWAGA")</f>
        <v>OK</v>
      </c>
    </row>
    <row r="94" spans="1:35" x14ac:dyDescent="0.45">
      <c r="A94">
        <v>92</v>
      </c>
      <c r="B94" t="str">
        <f>Analiza_wRankingach[[#This Row],[Nazwa uczelni]]</f>
        <v>Yonsei University</v>
      </c>
      <c r="C94">
        <f>Analiza_wRankingach[[#This Row],[WartośćKontrolna]]</f>
        <v>651</v>
      </c>
      <c r="D94">
        <f>Analiza_wRankingach[[#This Row],[THE_RV]]</f>
        <v>78</v>
      </c>
      <c r="E94">
        <f>Analiza_wRankingach[[#This Row],[ARWU_RV]]</f>
        <v>0</v>
      </c>
      <c r="F94">
        <f>Analiza_wRankingach[[#This Row],[QS_RV]]</f>
        <v>73</v>
      </c>
      <c r="G94">
        <f>Analiza_wRankingach[[#This Row],[Webometrics_RV]]</f>
        <v>0</v>
      </c>
      <c r="I94" t="s">
        <v>617</v>
      </c>
      <c r="J94">
        <v>92</v>
      </c>
      <c r="K94" t="s">
        <v>617</v>
      </c>
      <c r="L94">
        <v>92</v>
      </c>
      <c r="M94" t="s">
        <v>848</v>
      </c>
      <c r="O94" t="s">
        <v>732</v>
      </c>
      <c r="P94">
        <f>IF(SUMIFS(StandardName[IDinTheRanking],StandardName[StandardizedName],Analiza_wRankingach[[#This Row],[Nazwa uczelni]],StandardName[Ranking],"=THE")&gt;0,1,0)</f>
        <v>1</v>
      </c>
      <c r="Q94">
        <f>IF(SUMIFS(StandardName[IDinTheRanking],StandardName[StandardizedName],Analiza_wRankingach[[#This Row],[Nazwa uczelni]],StandardName[Ranking],"=ARWU")&gt;0,1,0)</f>
        <v>0</v>
      </c>
      <c r="R94">
        <f>IF(SUMIFS(StandardName[IDinTheRanking],StandardName[StandardizedName],Analiza_wRankingach[[#This Row],[Nazwa uczelni]],StandardName[Ranking],"=QS")&gt;0,1,0)</f>
        <v>1</v>
      </c>
      <c r="S94">
        <f>IF(SUMIFS(StandardName[IDinTheRanking],StandardName[StandardizedName],Analiza_wRankingach[[#This Row],[Nazwa uczelni]],StandardName[Ranking],"=Webometrics")&gt;0,1,0)</f>
        <v>0</v>
      </c>
      <c r="T94">
        <f>SUM(Analiza_wRankingach[[#This Row],[THE]:[Webometrics]])</f>
        <v>2</v>
      </c>
      <c r="U94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78</v>
      </c>
      <c r="V94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250</v>
      </c>
      <c r="W94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73</v>
      </c>
      <c r="X94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250</v>
      </c>
      <c r="Y94">
        <f>SUM(Analiza_wRankingach[[#This Row],[THE_RV1000]:[Webometrics_RV1000]])</f>
        <v>651</v>
      </c>
      <c r="Z94">
        <f>SUMIFS(StandardName[RankValueInTheRanking],StandardName[StandardizedName],Analiza_wRankingach[[#This Row],[Nazwa uczelni]],StandardName[Ranking],"=THE")</f>
        <v>78</v>
      </c>
      <c r="AA94">
        <f>SUMIFS(StandardName[RankValueInTheRanking],StandardName[StandardizedName],Analiza_wRankingach[[#This Row],[Nazwa uczelni]],StandardName[Ranking],"=ARWU")</f>
        <v>0</v>
      </c>
      <c r="AB94">
        <f>SUMIFS(StandardName[RankValueInTheRanking],StandardName[StandardizedName],Analiza_wRankingach[[#This Row],[Nazwa uczelni]],StandardName[Ranking],"=QS")</f>
        <v>73</v>
      </c>
      <c r="AC94">
        <f>SUMIFS(StandardName[RankValueInTheRanking],StandardName[StandardizedName],Analiza_wRankingach[[#This Row],[Nazwa uczelni]],StandardName[Ranking],"=Webometrics")</f>
        <v>0</v>
      </c>
      <c r="AD94">
        <f>SUMIFS(StandardName[IDinTheRanking],StandardName[StandardizedName],Analiza_wRankingach[[#This Row],[Nazwa uczelni]],StandardName[Ranking],"=THE")</f>
        <v>78</v>
      </c>
      <c r="AE94">
        <f>SUMIFS(StandardName[IDinTheRanking],StandardName[StandardizedName],Analiza_wRankingach[[#This Row],[Nazwa uczelni]],StandardName[Ranking],"=ARWU")</f>
        <v>0</v>
      </c>
      <c r="AF94">
        <f>SUMIFS(StandardName[IDinTheRanking],StandardName[StandardizedName],Analiza_wRankingach[[#This Row],[Nazwa uczelni]],StandardName[Ranking],"=QS")</f>
        <v>73</v>
      </c>
      <c r="AG94">
        <f>SUMIFS(StandardName[IDinTheRanking],StandardName[StandardizedName],Analiza_wRankingach[[#This Row],[Nazwa uczelni]],StandardName[Ranking],"=Webometrics")</f>
        <v>0</v>
      </c>
      <c r="AH94">
        <f>SUM(Analiza_wRankingach[[#This Row],[THE_ID]:[Webometrics_ID]])</f>
        <v>151</v>
      </c>
      <c r="AI94" t="str">
        <f>IF(Analiza_wRankingach[[#This Row],[LiczbaWystąpień]]&gt;=T95,"OK","UWAGA")</f>
        <v>OK</v>
      </c>
    </row>
    <row r="95" spans="1:35" x14ac:dyDescent="0.45">
      <c r="A95">
        <v>93</v>
      </c>
      <c r="B95" t="str">
        <f>Analiza_wRankingach[[#This Row],[Nazwa uczelni]]</f>
        <v>Emory University</v>
      </c>
      <c r="C95">
        <f>Analiza_wRankingach[[#This Row],[WartośćKontrolna]]</f>
        <v>654</v>
      </c>
      <c r="D95">
        <f>Analiza_wRankingach[[#This Row],[THE_RV]]</f>
        <v>82</v>
      </c>
      <c r="E95">
        <f>Analiza_wRankingach[[#This Row],[ARWU_RV]]</f>
        <v>0</v>
      </c>
      <c r="F95">
        <f>Analiza_wRankingach[[#This Row],[QS_RV]]</f>
        <v>0</v>
      </c>
      <c r="G95">
        <f>Analiza_wRankingach[[#This Row],[Webometrics_RV]]</f>
        <v>72</v>
      </c>
      <c r="I95" t="s">
        <v>618</v>
      </c>
      <c r="J95">
        <v>93</v>
      </c>
      <c r="K95" t="s">
        <v>618</v>
      </c>
      <c r="L95">
        <v>92</v>
      </c>
      <c r="M95" t="s">
        <v>848</v>
      </c>
      <c r="O95" t="s">
        <v>416</v>
      </c>
      <c r="P95">
        <f>IF(SUMIFS(StandardName[IDinTheRanking],StandardName[StandardizedName],Analiza_wRankingach[[#This Row],[Nazwa uczelni]],StandardName[Ranking],"=THE")&gt;0,1,0)</f>
        <v>1</v>
      </c>
      <c r="Q95">
        <f>IF(SUMIFS(StandardName[IDinTheRanking],StandardName[StandardizedName],Analiza_wRankingach[[#This Row],[Nazwa uczelni]],StandardName[Ranking],"=ARWU")&gt;0,1,0)</f>
        <v>0</v>
      </c>
      <c r="R95">
        <f>IF(SUMIFS(StandardName[IDinTheRanking],StandardName[StandardizedName],Analiza_wRankingach[[#This Row],[Nazwa uczelni]],StandardName[Ranking],"=QS")&gt;0,1,0)</f>
        <v>0</v>
      </c>
      <c r="S95">
        <f>IF(SUMIFS(StandardName[IDinTheRanking],StandardName[StandardizedName],Analiza_wRankingach[[#This Row],[Nazwa uczelni]],StandardName[Ranking],"=Webometrics")&gt;0,1,0)</f>
        <v>1</v>
      </c>
      <c r="T95">
        <f>SUM(Analiza_wRankingach[[#This Row],[THE]:[Webometrics]])</f>
        <v>2</v>
      </c>
      <c r="U95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82</v>
      </c>
      <c r="V95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250</v>
      </c>
      <c r="W95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250</v>
      </c>
      <c r="X95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72</v>
      </c>
      <c r="Y95">
        <f>SUM(Analiza_wRankingach[[#This Row],[THE_RV1000]:[Webometrics_RV1000]])</f>
        <v>654</v>
      </c>
      <c r="Z95">
        <f>SUMIFS(StandardName[RankValueInTheRanking],StandardName[StandardizedName],Analiza_wRankingach[[#This Row],[Nazwa uczelni]],StandardName[Ranking],"=THE")</f>
        <v>82</v>
      </c>
      <c r="AA95">
        <f>SUMIFS(StandardName[RankValueInTheRanking],StandardName[StandardizedName],Analiza_wRankingach[[#This Row],[Nazwa uczelni]],StandardName[Ranking],"=ARWU")</f>
        <v>0</v>
      </c>
      <c r="AB95">
        <f>SUMIFS(StandardName[RankValueInTheRanking],StandardName[StandardizedName],Analiza_wRankingach[[#This Row],[Nazwa uczelni]],StandardName[Ranking],"=QS")</f>
        <v>0</v>
      </c>
      <c r="AC95">
        <f>SUMIFS(StandardName[RankValueInTheRanking],StandardName[StandardizedName],Analiza_wRankingach[[#This Row],[Nazwa uczelni]],StandardName[Ranking],"=Webometrics")</f>
        <v>72</v>
      </c>
      <c r="AD95">
        <f>SUMIFS(StandardName[IDinTheRanking],StandardName[StandardizedName],Analiza_wRankingach[[#This Row],[Nazwa uczelni]],StandardName[Ranking],"=THE")</f>
        <v>82</v>
      </c>
      <c r="AE95">
        <f>SUMIFS(StandardName[IDinTheRanking],StandardName[StandardizedName],Analiza_wRankingach[[#This Row],[Nazwa uczelni]],StandardName[Ranking],"=ARWU")</f>
        <v>0</v>
      </c>
      <c r="AF95">
        <f>SUMIFS(StandardName[IDinTheRanking],StandardName[StandardizedName],Analiza_wRankingach[[#This Row],[Nazwa uczelni]],StandardName[Ranking],"=QS")</f>
        <v>0</v>
      </c>
      <c r="AG95">
        <f>SUMIFS(StandardName[IDinTheRanking],StandardName[StandardizedName],Analiza_wRankingach[[#This Row],[Nazwa uczelni]],StandardName[Ranking],"=Webometrics")</f>
        <v>72</v>
      </c>
      <c r="AH95">
        <f>SUM(Analiza_wRankingach[[#This Row],[THE_ID]:[Webometrics_ID]])</f>
        <v>154</v>
      </c>
      <c r="AI95" t="str">
        <f>IF(Analiza_wRankingach[[#This Row],[LiczbaWystąpień]]&gt;=T96,"OK","UWAGA")</f>
        <v>OK</v>
      </c>
    </row>
    <row r="96" spans="1:35" x14ac:dyDescent="0.45">
      <c r="A96">
        <v>94</v>
      </c>
      <c r="B96" t="str">
        <f>Analiza_wRankingach[[#This Row],[Nazwa uczelni]]</f>
        <v>University of Alberta</v>
      </c>
      <c r="C96">
        <f>Analiza_wRankingach[[#This Row],[WartośćKontrolna]]</f>
        <v>663</v>
      </c>
      <c r="D96">
        <f>Analiza_wRankingach[[#This Row],[THE_RV]]</f>
        <v>0</v>
      </c>
      <c r="E96">
        <f>Analiza_wRankingach[[#This Row],[ARWU_RV]]</f>
        <v>92</v>
      </c>
      <c r="F96">
        <f>Analiza_wRankingach[[#This Row],[QS_RV]]</f>
        <v>0</v>
      </c>
      <c r="G96">
        <f>Analiza_wRankingach[[#This Row],[Webometrics_RV]]</f>
        <v>71</v>
      </c>
      <c r="I96" t="s">
        <v>619</v>
      </c>
      <c r="J96">
        <v>94</v>
      </c>
      <c r="K96" t="s">
        <v>619</v>
      </c>
      <c r="L96">
        <v>94</v>
      </c>
      <c r="M96" t="s">
        <v>848</v>
      </c>
      <c r="O96" t="s">
        <v>617</v>
      </c>
      <c r="P96">
        <f>IF(SUMIFS(StandardName[IDinTheRanking],StandardName[StandardizedName],Analiza_wRankingach[[#This Row],[Nazwa uczelni]],StandardName[Ranking],"=THE")&gt;0,1,0)</f>
        <v>0</v>
      </c>
      <c r="Q96">
        <f>IF(SUMIFS(StandardName[IDinTheRanking],StandardName[StandardizedName],Analiza_wRankingach[[#This Row],[Nazwa uczelni]],StandardName[Ranking],"=ARWU")&gt;0,1,0)</f>
        <v>1</v>
      </c>
      <c r="R96">
        <f>IF(SUMIFS(StandardName[IDinTheRanking],StandardName[StandardizedName],Analiza_wRankingach[[#This Row],[Nazwa uczelni]],StandardName[Ranking],"=QS")&gt;0,1,0)</f>
        <v>0</v>
      </c>
      <c r="S96">
        <f>IF(SUMIFS(StandardName[IDinTheRanking],StandardName[StandardizedName],Analiza_wRankingach[[#This Row],[Nazwa uczelni]],StandardName[Ranking],"=Webometrics")&gt;0,1,0)</f>
        <v>1</v>
      </c>
      <c r="T96">
        <f>SUM(Analiza_wRankingach[[#This Row],[THE]:[Webometrics]])</f>
        <v>2</v>
      </c>
      <c r="U96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250</v>
      </c>
      <c r="V96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92</v>
      </c>
      <c r="W96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250</v>
      </c>
      <c r="X96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71</v>
      </c>
      <c r="Y96">
        <f>SUM(Analiza_wRankingach[[#This Row],[THE_RV1000]:[Webometrics_RV1000]])</f>
        <v>663</v>
      </c>
      <c r="Z96">
        <f>SUMIFS(StandardName[RankValueInTheRanking],StandardName[StandardizedName],Analiza_wRankingach[[#This Row],[Nazwa uczelni]],StandardName[Ranking],"=THE")</f>
        <v>0</v>
      </c>
      <c r="AA96">
        <f>SUMIFS(StandardName[RankValueInTheRanking],StandardName[StandardizedName],Analiza_wRankingach[[#This Row],[Nazwa uczelni]],StandardName[Ranking],"=ARWU")</f>
        <v>92</v>
      </c>
      <c r="AB96">
        <f>SUMIFS(StandardName[RankValueInTheRanking],StandardName[StandardizedName],Analiza_wRankingach[[#This Row],[Nazwa uczelni]],StandardName[Ranking],"=QS")</f>
        <v>0</v>
      </c>
      <c r="AC96">
        <f>SUMIFS(StandardName[RankValueInTheRanking],StandardName[StandardizedName],Analiza_wRankingach[[#This Row],[Nazwa uczelni]],StandardName[Ranking],"=Webometrics")</f>
        <v>71</v>
      </c>
      <c r="AD96">
        <f>SUMIFS(StandardName[IDinTheRanking],StandardName[StandardizedName],Analiza_wRankingach[[#This Row],[Nazwa uczelni]],StandardName[Ranking],"=THE")</f>
        <v>0</v>
      </c>
      <c r="AE96">
        <f>SUMIFS(StandardName[IDinTheRanking],StandardName[StandardizedName],Analiza_wRankingach[[#This Row],[Nazwa uczelni]],StandardName[Ranking],"=ARWU")</f>
        <v>92</v>
      </c>
      <c r="AF96">
        <f>SUMIFS(StandardName[IDinTheRanking],StandardName[StandardizedName],Analiza_wRankingach[[#This Row],[Nazwa uczelni]],StandardName[Ranking],"=QS")</f>
        <v>0</v>
      </c>
      <c r="AG96">
        <f>SUMIFS(StandardName[IDinTheRanking],StandardName[StandardizedName],Analiza_wRankingach[[#This Row],[Nazwa uczelni]],StandardName[Ranking],"=Webometrics")</f>
        <v>71</v>
      </c>
      <c r="AH96">
        <f>SUM(Analiza_wRankingach[[#This Row],[THE_ID]:[Webometrics_ID]])</f>
        <v>163</v>
      </c>
      <c r="AI96" t="str">
        <f>IF(Analiza_wRankingach[[#This Row],[LiczbaWystąpień]]&gt;=T97,"OK","UWAGA")</f>
        <v>OK</v>
      </c>
    </row>
    <row r="97" spans="1:35" x14ac:dyDescent="0.45">
      <c r="A97">
        <v>95</v>
      </c>
      <c r="B97" t="str">
        <f>Analiza_wRankingach[[#This Row],[Nazwa uczelni]]</f>
        <v>University of Glasgow</v>
      </c>
      <c r="C97">
        <f>Analiza_wRankingach[[#This Row],[WartośćKontrolna]]</f>
        <v>663</v>
      </c>
      <c r="D97">
        <f>Analiza_wRankingach[[#This Row],[THE_RV]]</f>
        <v>82</v>
      </c>
      <c r="E97">
        <f>Analiza_wRankingach[[#This Row],[ARWU_RV]]</f>
        <v>0</v>
      </c>
      <c r="F97">
        <f>Analiza_wRankingach[[#This Row],[QS_RV]]</f>
        <v>81</v>
      </c>
      <c r="G97">
        <f>Analiza_wRankingach[[#This Row],[Webometrics_RV]]</f>
        <v>0</v>
      </c>
      <c r="I97" t="s">
        <v>234</v>
      </c>
      <c r="J97">
        <v>95</v>
      </c>
      <c r="K97" t="s">
        <v>234</v>
      </c>
      <c r="L97">
        <v>95</v>
      </c>
      <c r="M97" t="s">
        <v>848</v>
      </c>
      <c r="O97" t="s">
        <v>420</v>
      </c>
      <c r="P97">
        <f>IF(SUMIFS(StandardName[IDinTheRanking],StandardName[StandardizedName],Analiza_wRankingach[[#This Row],[Nazwa uczelni]],StandardName[Ranking],"=THE")&gt;0,1,0)</f>
        <v>1</v>
      </c>
      <c r="Q97">
        <f>IF(SUMIFS(StandardName[IDinTheRanking],StandardName[StandardizedName],Analiza_wRankingach[[#This Row],[Nazwa uczelni]],StandardName[Ranking],"=ARWU")&gt;0,1,0)</f>
        <v>0</v>
      </c>
      <c r="R97">
        <f>IF(SUMIFS(StandardName[IDinTheRanking],StandardName[StandardizedName],Analiza_wRankingach[[#This Row],[Nazwa uczelni]],StandardName[Ranking],"=QS")&gt;0,1,0)</f>
        <v>1</v>
      </c>
      <c r="S97">
        <f>IF(SUMIFS(StandardName[IDinTheRanking],StandardName[StandardizedName],Analiza_wRankingach[[#This Row],[Nazwa uczelni]],StandardName[Ranking],"=Webometrics")&gt;0,1,0)</f>
        <v>0</v>
      </c>
      <c r="T97">
        <f>SUM(Analiza_wRankingach[[#This Row],[THE]:[Webometrics]])</f>
        <v>2</v>
      </c>
      <c r="U97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82</v>
      </c>
      <c r="V97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250</v>
      </c>
      <c r="W97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81</v>
      </c>
      <c r="X97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250</v>
      </c>
      <c r="Y97">
        <f>SUM(Analiza_wRankingach[[#This Row],[THE_RV1000]:[Webometrics_RV1000]])</f>
        <v>663</v>
      </c>
      <c r="Z97">
        <f>SUMIFS(StandardName[RankValueInTheRanking],StandardName[StandardizedName],Analiza_wRankingach[[#This Row],[Nazwa uczelni]],StandardName[Ranking],"=THE")</f>
        <v>82</v>
      </c>
      <c r="AA97">
        <f>SUMIFS(StandardName[RankValueInTheRanking],StandardName[StandardizedName],Analiza_wRankingach[[#This Row],[Nazwa uczelni]],StandardName[Ranking],"=ARWU")</f>
        <v>0</v>
      </c>
      <c r="AB97">
        <f>SUMIFS(StandardName[RankValueInTheRanking],StandardName[StandardizedName],Analiza_wRankingach[[#This Row],[Nazwa uczelni]],StandardName[Ranking],"=QS")</f>
        <v>81</v>
      </c>
      <c r="AC97">
        <f>SUMIFS(StandardName[RankValueInTheRanking],StandardName[StandardizedName],Analiza_wRankingach[[#This Row],[Nazwa uczelni]],StandardName[Ranking],"=Webometrics")</f>
        <v>0</v>
      </c>
      <c r="AD97">
        <f>SUMIFS(StandardName[IDinTheRanking],StandardName[StandardizedName],Analiza_wRankingach[[#This Row],[Nazwa uczelni]],StandardName[Ranking],"=THE")</f>
        <v>83</v>
      </c>
      <c r="AE97">
        <f>SUMIFS(StandardName[IDinTheRanking],StandardName[StandardizedName],Analiza_wRankingach[[#This Row],[Nazwa uczelni]],StandardName[Ranking],"=ARWU")</f>
        <v>0</v>
      </c>
      <c r="AF97">
        <f>SUMIFS(StandardName[IDinTheRanking],StandardName[StandardizedName],Analiza_wRankingach[[#This Row],[Nazwa uczelni]],StandardName[Ranking],"=QS")</f>
        <v>81</v>
      </c>
      <c r="AG97">
        <f>SUMIFS(StandardName[IDinTheRanking],StandardName[StandardizedName],Analiza_wRankingach[[#This Row],[Nazwa uczelni]],StandardName[Ranking],"=Webometrics")</f>
        <v>0</v>
      </c>
      <c r="AH97">
        <f>SUM(Analiza_wRankingach[[#This Row],[THE_ID]:[Webometrics_ID]])</f>
        <v>164</v>
      </c>
      <c r="AI97" t="str">
        <f>IF(Analiza_wRankingach[[#This Row],[LiczbaWystąpień]]&gt;=T98,"OK","UWAGA")</f>
        <v>OK</v>
      </c>
    </row>
    <row r="98" spans="1:35" x14ac:dyDescent="0.45">
      <c r="A98">
        <v>96</v>
      </c>
      <c r="B98" t="str">
        <f>Analiza_wRankingach[[#This Row],[Nazwa uczelni]]</f>
        <v>University of Oslo</v>
      </c>
      <c r="C98">
        <f>Analiza_wRankingach[[#This Row],[WartośćKontrolna]]</f>
        <v>664</v>
      </c>
      <c r="D98">
        <f>Analiza_wRankingach[[#This Row],[THE_RV]]</f>
        <v>0</v>
      </c>
      <c r="E98">
        <f>Analiza_wRankingach[[#This Row],[ARWU_RV]]</f>
        <v>67</v>
      </c>
      <c r="F98">
        <f>Analiza_wRankingach[[#This Row],[QS_RV]]</f>
        <v>0</v>
      </c>
      <c r="G98">
        <f>Analiza_wRankingach[[#This Row],[Webometrics_RV]]</f>
        <v>97</v>
      </c>
      <c r="I98" t="s">
        <v>620</v>
      </c>
      <c r="J98">
        <v>96</v>
      </c>
      <c r="K98" t="s">
        <v>620</v>
      </c>
      <c r="L98">
        <v>96</v>
      </c>
      <c r="M98" t="s">
        <v>848</v>
      </c>
      <c r="O98" t="s">
        <v>598</v>
      </c>
      <c r="P98">
        <f>IF(SUMIFS(StandardName[IDinTheRanking],StandardName[StandardizedName],Analiza_wRankingach[[#This Row],[Nazwa uczelni]],StandardName[Ranking],"=THE")&gt;0,1,0)</f>
        <v>0</v>
      </c>
      <c r="Q98">
        <f>IF(SUMIFS(StandardName[IDinTheRanking],StandardName[StandardizedName],Analiza_wRankingach[[#This Row],[Nazwa uczelni]],StandardName[Ranking],"=ARWU")&gt;0,1,0)</f>
        <v>1</v>
      </c>
      <c r="R98">
        <f>IF(SUMIFS(StandardName[IDinTheRanking],StandardName[StandardizedName],Analiza_wRankingach[[#This Row],[Nazwa uczelni]],StandardName[Ranking],"=QS")&gt;0,1,0)</f>
        <v>0</v>
      </c>
      <c r="S98">
        <f>IF(SUMIFS(StandardName[IDinTheRanking],StandardName[StandardizedName],Analiza_wRankingach[[#This Row],[Nazwa uczelni]],StandardName[Ranking],"=Webometrics")&gt;0,1,0)</f>
        <v>1</v>
      </c>
      <c r="T98">
        <f>SUM(Analiza_wRankingach[[#This Row],[THE]:[Webometrics]])</f>
        <v>2</v>
      </c>
      <c r="U98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250</v>
      </c>
      <c r="V98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67</v>
      </c>
      <c r="W98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250</v>
      </c>
      <c r="X98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97</v>
      </c>
      <c r="Y98">
        <f>SUM(Analiza_wRankingach[[#This Row],[THE_RV1000]:[Webometrics_RV1000]])</f>
        <v>664</v>
      </c>
      <c r="Z98">
        <f>SUMIFS(StandardName[RankValueInTheRanking],StandardName[StandardizedName],Analiza_wRankingach[[#This Row],[Nazwa uczelni]],StandardName[Ranking],"=THE")</f>
        <v>0</v>
      </c>
      <c r="AA98">
        <f>SUMIFS(StandardName[RankValueInTheRanking],StandardName[StandardizedName],Analiza_wRankingach[[#This Row],[Nazwa uczelni]],StandardName[Ranking],"=ARWU")</f>
        <v>67</v>
      </c>
      <c r="AB98">
        <f>SUMIFS(StandardName[RankValueInTheRanking],StandardName[StandardizedName],Analiza_wRankingach[[#This Row],[Nazwa uczelni]],StandardName[Ranking],"=QS")</f>
        <v>0</v>
      </c>
      <c r="AC98">
        <f>SUMIFS(StandardName[RankValueInTheRanking],StandardName[StandardizedName],Analiza_wRankingach[[#This Row],[Nazwa uczelni]],StandardName[Ranking],"=Webometrics")</f>
        <v>97</v>
      </c>
      <c r="AD98">
        <f>SUMIFS(StandardName[IDinTheRanking],StandardName[StandardizedName],Analiza_wRankingach[[#This Row],[Nazwa uczelni]],StandardName[Ranking],"=THE")</f>
        <v>0</v>
      </c>
      <c r="AE98">
        <f>SUMIFS(StandardName[IDinTheRanking],StandardName[StandardizedName],Analiza_wRankingach[[#This Row],[Nazwa uczelni]],StandardName[Ranking],"=ARWU")</f>
        <v>68</v>
      </c>
      <c r="AF98">
        <f>SUMIFS(StandardName[IDinTheRanking],StandardName[StandardizedName],Analiza_wRankingach[[#This Row],[Nazwa uczelni]],StandardName[Ranking],"=QS")</f>
        <v>0</v>
      </c>
      <c r="AG98">
        <f>SUMIFS(StandardName[IDinTheRanking],StandardName[StandardizedName],Analiza_wRankingach[[#This Row],[Nazwa uczelni]],StandardName[Ranking],"=Webometrics")</f>
        <v>97</v>
      </c>
      <c r="AH98">
        <f>SUM(Analiza_wRankingach[[#This Row],[THE_ID]:[Webometrics_ID]])</f>
        <v>165</v>
      </c>
      <c r="AI98" t="str">
        <f>IF(Analiza_wRankingach[[#This Row],[LiczbaWystąpień]]&gt;=T99,"OK","UWAGA")</f>
        <v>OK</v>
      </c>
    </row>
    <row r="99" spans="1:35" x14ac:dyDescent="0.45">
      <c r="A99">
        <v>97</v>
      </c>
      <c r="B99" t="str">
        <f>Analiza_wRankingach[[#This Row],[Nazwa uczelni]]</f>
        <v>University of Bonn</v>
      </c>
      <c r="C99">
        <f>Analiza_wRankingach[[#This Row],[WartośćKontrolna]]</f>
        <v>665</v>
      </c>
      <c r="D99">
        <f>Analiza_wRankingach[[#This Row],[THE_RV]]</f>
        <v>89</v>
      </c>
      <c r="E99">
        <f>Analiza_wRankingach[[#This Row],[ARWU_RV]]</f>
        <v>76</v>
      </c>
      <c r="F99">
        <f>Analiza_wRankingach[[#This Row],[QS_RV]]</f>
        <v>0</v>
      </c>
      <c r="G99">
        <f>Analiza_wRankingach[[#This Row],[Webometrics_RV]]</f>
        <v>0</v>
      </c>
      <c r="I99" t="s">
        <v>621</v>
      </c>
      <c r="J99">
        <v>97</v>
      </c>
      <c r="K99" t="s">
        <v>179</v>
      </c>
      <c r="L99">
        <v>96</v>
      </c>
      <c r="M99" t="s">
        <v>848</v>
      </c>
      <c r="O99" t="s">
        <v>443</v>
      </c>
      <c r="P99">
        <f>IF(SUMIFS(StandardName[IDinTheRanking],StandardName[StandardizedName],Analiza_wRankingach[[#This Row],[Nazwa uczelni]],StandardName[Ranking],"=THE")&gt;0,1,0)</f>
        <v>1</v>
      </c>
      <c r="Q99">
        <f>IF(SUMIFS(StandardName[IDinTheRanking],StandardName[StandardizedName],Analiza_wRankingach[[#This Row],[Nazwa uczelni]],StandardName[Ranking],"=ARWU")&gt;0,1,0)</f>
        <v>1</v>
      </c>
      <c r="R99">
        <f>IF(SUMIFS(StandardName[IDinTheRanking],StandardName[StandardizedName],Analiza_wRankingach[[#This Row],[Nazwa uczelni]],StandardName[Ranking],"=QS")&gt;0,1,0)</f>
        <v>0</v>
      </c>
      <c r="S99">
        <f>IF(SUMIFS(StandardName[IDinTheRanking],StandardName[StandardizedName],Analiza_wRankingach[[#This Row],[Nazwa uczelni]],StandardName[Ranking],"=Webometrics")&gt;0,1,0)</f>
        <v>0</v>
      </c>
      <c r="T99">
        <f>SUM(Analiza_wRankingach[[#This Row],[THE]:[Webometrics]])</f>
        <v>2</v>
      </c>
      <c r="U99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89</v>
      </c>
      <c r="V99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76</v>
      </c>
      <c r="W99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250</v>
      </c>
      <c r="X99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250</v>
      </c>
      <c r="Y99">
        <f>SUM(Analiza_wRankingach[[#This Row],[THE_RV1000]:[Webometrics_RV1000]])</f>
        <v>665</v>
      </c>
      <c r="Z99">
        <f>SUMIFS(StandardName[RankValueInTheRanking],StandardName[StandardizedName],Analiza_wRankingach[[#This Row],[Nazwa uczelni]],StandardName[Ranking],"=THE")</f>
        <v>89</v>
      </c>
      <c r="AA99">
        <f>SUMIFS(StandardName[RankValueInTheRanking],StandardName[StandardizedName],Analiza_wRankingach[[#This Row],[Nazwa uczelni]],StandardName[Ranking],"=ARWU")</f>
        <v>76</v>
      </c>
      <c r="AB99">
        <f>SUMIFS(StandardName[RankValueInTheRanking],StandardName[StandardizedName],Analiza_wRankingach[[#This Row],[Nazwa uczelni]],StandardName[Ranking],"=QS")</f>
        <v>0</v>
      </c>
      <c r="AC99">
        <f>SUMIFS(StandardName[RankValueInTheRanking],StandardName[StandardizedName],Analiza_wRankingach[[#This Row],[Nazwa uczelni]],StandardName[Ranking],"=Webometrics")</f>
        <v>0</v>
      </c>
      <c r="AD99">
        <f>SUMIFS(StandardName[IDinTheRanking],StandardName[StandardizedName],Analiza_wRankingach[[#This Row],[Nazwa uczelni]],StandardName[Ranking],"=THE")</f>
        <v>89</v>
      </c>
      <c r="AE99">
        <f>SUMIFS(StandardName[IDinTheRanking],StandardName[StandardizedName],Analiza_wRankingach[[#This Row],[Nazwa uczelni]],StandardName[Ranking],"=ARWU")</f>
        <v>76</v>
      </c>
      <c r="AF99">
        <f>SUMIFS(StandardName[IDinTheRanking],StandardName[StandardizedName],Analiza_wRankingach[[#This Row],[Nazwa uczelni]],StandardName[Ranking],"=QS")</f>
        <v>0</v>
      </c>
      <c r="AG99">
        <f>SUMIFS(StandardName[IDinTheRanking],StandardName[StandardizedName],Analiza_wRankingach[[#This Row],[Nazwa uczelni]],StandardName[Ranking],"=Webometrics")</f>
        <v>0</v>
      </c>
      <c r="AH99">
        <f>SUM(Analiza_wRankingach[[#This Row],[THE_ID]:[Webometrics_ID]])</f>
        <v>165</v>
      </c>
      <c r="AI99" t="str">
        <f>IF(Analiza_wRankingach[[#This Row],[LiczbaWystąpień]]&gt;=T100,"OK","UWAGA")</f>
        <v>OK</v>
      </c>
    </row>
    <row r="100" spans="1:35" x14ac:dyDescent="0.45">
      <c r="A100">
        <v>98</v>
      </c>
      <c r="B100" t="str">
        <f>Analiza_wRankingach[[#This Row],[Nazwa uczelni]]</f>
        <v>Erasmus University Rotterdam</v>
      </c>
      <c r="C100">
        <f>Analiza_wRankingach[[#This Row],[WartośćKontrolna]]</f>
        <v>667</v>
      </c>
      <c r="D100">
        <f>Analiza_wRankingach[[#This Row],[THE_RV]]</f>
        <v>80</v>
      </c>
      <c r="E100">
        <f>Analiza_wRankingach[[#This Row],[ARWU_RV]]</f>
        <v>87</v>
      </c>
      <c r="F100">
        <f>Analiza_wRankingach[[#This Row],[QS_RV]]</f>
        <v>0</v>
      </c>
      <c r="G100">
        <f>Analiza_wRankingach[[#This Row],[Webometrics_RV]]</f>
        <v>0</v>
      </c>
      <c r="I100" t="s">
        <v>306</v>
      </c>
      <c r="J100">
        <v>98</v>
      </c>
      <c r="K100" t="s">
        <v>306</v>
      </c>
      <c r="L100">
        <v>98</v>
      </c>
      <c r="M100" t="s">
        <v>848</v>
      </c>
      <c r="O100" t="s">
        <v>408</v>
      </c>
      <c r="P100">
        <f>IF(SUMIFS(StandardName[IDinTheRanking],StandardName[StandardizedName],Analiza_wRankingach[[#This Row],[Nazwa uczelni]],StandardName[Ranking],"=THE")&gt;0,1,0)</f>
        <v>1</v>
      </c>
      <c r="Q100">
        <f>IF(SUMIFS(StandardName[IDinTheRanking],StandardName[StandardizedName],Analiza_wRankingach[[#This Row],[Nazwa uczelni]],StandardName[Ranking],"=ARWU")&gt;0,1,0)</f>
        <v>1</v>
      </c>
      <c r="R100">
        <f>IF(SUMIFS(StandardName[IDinTheRanking],StandardName[StandardizedName],Analiza_wRankingach[[#This Row],[Nazwa uczelni]],StandardName[Ranking],"=QS")&gt;0,1,0)</f>
        <v>0</v>
      </c>
      <c r="S100">
        <f>IF(SUMIFS(StandardName[IDinTheRanking],StandardName[StandardizedName],Analiza_wRankingach[[#This Row],[Nazwa uczelni]],StandardName[Ranking],"=Webometrics")&gt;0,1,0)</f>
        <v>0</v>
      </c>
      <c r="T100">
        <f>SUM(Analiza_wRankingach[[#This Row],[THE]:[Webometrics]])</f>
        <v>2</v>
      </c>
      <c r="U100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80</v>
      </c>
      <c r="V100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87</v>
      </c>
      <c r="W100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250</v>
      </c>
      <c r="X100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250</v>
      </c>
      <c r="Y100">
        <f>SUM(Analiza_wRankingach[[#This Row],[THE_RV1000]:[Webometrics_RV1000]])</f>
        <v>667</v>
      </c>
      <c r="Z100">
        <f>SUMIFS(StandardName[RankValueInTheRanking],StandardName[StandardizedName],Analiza_wRankingach[[#This Row],[Nazwa uczelni]],StandardName[Ranking],"=THE")</f>
        <v>80</v>
      </c>
      <c r="AA100">
        <f>SUMIFS(StandardName[RankValueInTheRanking],StandardName[StandardizedName],Analiza_wRankingach[[#This Row],[Nazwa uczelni]],StandardName[Ranking],"=ARWU")</f>
        <v>87</v>
      </c>
      <c r="AB100">
        <f>SUMIFS(StandardName[RankValueInTheRanking],StandardName[StandardizedName],Analiza_wRankingach[[#This Row],[Nazwa uczelni]],StandardName[Ranking],"=QS")</f>
        <v>0</v>
      </c>
      <c r="AC100">
        <f>SUMIFS(StandardName[RankValueInTheRanking],StandardName[StandardizedName],Analiza_wRankingach[[#This Row],[Nazwa uczelni]],StandardName[Ranking],"=Webometrics")</f>
        <v>0</v>
      </c>
      <c r="AD100">
        <f>SUMIFS(StandardName[IDinTheRanking],StandardName[StandardizedName],Analiza_wRankingach[[#This Row],[Nazwa uczelni]],StandardName[Ranking],"=THE")</f>
        <v>80</v>
      </c>
      <c r="AE100">
        <f>SUMIFS(StandardName[IDinTheRanking],StandardName[StandardizedName],Analiza_wRankingach[[#This Row],[Nazwa uczelni]],StandardName[Ranking],"=ARWU")</f>
        <v>87</v>
      </c>
      <c r="AF100">
        <f>SUMIFS(StandardName[IDinTheRanking],StandardName[StandardizedName],Analiza_wRankingach[[#This Row],[Nazwa uczelni]],StandardName[Ranking],"=QS")</f>
        <v>0</v>
      </c>
      <c r="AG100">
        <f>SUMIFS(StandardName[IDinTheRanking],StandardName[StandardizedName],Analiza_wRankingach[[#This Row],[Nazwa uczelni]],StandardName[Ranking],"=Webometrics")</f>
        <v>0</v>
      </c>
      <c r="AH100">
        <f>SUM(Analiza_wRankingach[[#This Row],[THE_ID]:[Webometrics_ID]])</f>
        <v>167</v>
      </c>
      <c r="AI100" t="str">
        <f>IF(Analiza_wRankingach[[#This Row],[LiczbaWystąpień]]&gt;=T101,"OK","UWAGA")</f>
        <v>OK</v>
      </c>
    </row>
    <row r="101" spans="1:35" x14ac:dyDescent="0.45">
      <c r="A101">
        <v>99</v>
      </c>
      <c r="B101" t="str">
        <f>Analiza_wRankingach[[#This Row],[Nazwa uczelni]]</f>
        <v>University of Leeds</v>
      </c>
      <c r="C101">
        <f>Analiza_wRankingach[[#This Row],[WartośćKontrolna]]</f>
        <v>674</v>
      </c>
      <c r="D101">
        <f>Analiza_wRankingach[[#This Row],[THE_RV]]</f>
        <v>0</v>
      </c>
      <c r="E101">
        <f>Analiza_wRankingach[[#This Row],[ARWU_RV]]</f>
        <v>0</v>
      </c>
      <c r="F101">
        <f>Analiza_wRankingach[[#This Row],[QS_RV]]</f>
        <v>86</v>
      </c>
      <c r="G101">
        <f>Analiza_wRankingach[[#This Row],[Webometrics_RV]]</f>
        <v>88</v>
      </c>
      <c r="I101" t="s">
        <v>332</v>
      </c>
      <c r="J101">
        <v>99</v>
      </c>
      <c r="K101" t="s">
        <v>332</v>
      </c>
      <c r="L101">
        <v>99</v>
      </c>
      <c r="M101" t="s">
        <v>848</v>
      </c>
      <c r="O101" t="s">
        <v>749</v>
      </c>
      <c r="P101">
        <f>IF(SUMIFS(StandardName[IDinTheRanking],StandardName[StandardizedName],Analiza_wRankingach[[#This Row],[Nazwa uczelni]],StandardName[Ranking],"=THE")&gt;0,1,0)</f>
        <v>0</v>
      </c>
      <c r="Q101">
        <f>IF(SUMIFS(StandardName[IDinTheRanking],StandardName[StandardizedName],Analiza_wRankingach[[#This Row],[Nazwa uczelni]],StandardName[Ranking],"=ARWU")&gt;0,1,0)</f>
        <v>0</v>
      </c>
      <c r="R101">
        <f>IF(SUMIFS(StandardName[IDinTheRanking],StandardName[StandardizedName],Analiza_wRankingach[[#This Row],[Nazwa uczelni]],StandardName[Ranking],"=QS")&gt;0,1,0)</f>
        <v>1</v>
      </c>
      <c r="S101">
        <f>IF(SUMIFS(StandardName[IDinTheRanking],StandardName[StandardizedName],Analiza_wRankingach[[#This Row],[Nazwa uczelni]],StandardName[Ranking],"=Webometrics")&gt;0,1,0)</f>
        <v>1</v>
      </c>
      <c r="T101">
        <f>SUM(Analiza_wRankingach[[#This Row],[THE]:[Webometrics]])</f>
        <v>2</v>
      </c>
      <c r="U101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250</v>
      </c>
      <c r="V101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250</v>
      </c>
      <c r="W101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86</v>
      </c>
      <c r="X101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88</v>
      </c>
      <c r="Y101">
        <f>SUM(Analiza_wRankingach[[#This Row],[THE_RV1000]:[Webometrics_RV1000]])</f>
        <v>674</v>
      </c>
      <c r="Z101">
        <f>SUMIFS(StandardName[RankValueInTheRanking],StandardName[StandardizedName],Analiza_wRankingach[[#This Row],[Nazwa uczelni]],StandardName[Ranking],"=THE")</f>
        <v>0</v>
      </c>
      <c r="AA101">
        <f>SUMIFS(StandardName[RankValueInTheRanking],StandardName[StandardizedName],Analiza_wRankingach[[#This Row],[Nazwa uczelni]],StandardName[Ranking],"=ARWU")</f>
        <v>0</v>
      </c>
      <c r="AB101">
        <f>SUMIFS(StandardName[RankValueInTheRanking],StandardName[StandardizedName],Analiza_wRankingach[[#This Row],[Nazwa uczelni]],StandardName[Ranking],"=QS")</f>
        <v>86</v>
      </c>
      <c r="AC101">
        <f>SUMIFS(StandardName[RankValueInTheRanking],StandardName[StandardizedName],Analiza_wRankingach[[#This Row],[Nazwa uczelni]],StandardName[Ranking],"=Webometrics")</f>
        <v>88</v>
      </c>
      <c r="AD101">
        <f>SUMIFS(StandardName[IDinTheRanking],StandardName[StandardizedName],Analiza_wRankingach[[#This Row],[Nazwa uczelni]],StandardName[Ranking],"=THE")</f>
        <v>0</v>
      </c>
      <c r="AE101">
        <f>SUMIFS(StandardName[IDinTheRanking],StandardName[StandardizedName],Analiza_wRankingach[[#This Row],[Nazwa uczelni]],StandardName[Ranking],"=ARWU")</f>
        <v>0</v>
      </c>
      <c r="AF101">
        <f>SUMIFS(StandardName[IDinTheRanking],StandardName[StandardizedName],Analiza_wRankingach[[#This Row],[Nazwa uczelni]],StandardName[Ranking],"=QS")</f>
        <v>86</v>
      </c>
      <c r="AG101">
        <f>SUMIFS(StandardName[IDinTheRanking],StandardName[StandardizedName],Analiza_wRankingach[[#This Row],[Nazwa uczelni]],StandardName[Ranking],"=Webometrics")</f>
        <v>88</v>
      </c>
      <c r="AH101">
        <f>SUM(Analiza_wRankingach[[#This Row],[THE_ID]:[Webometrics_ID]])</f>
        <v>174</v>
      </c>
      <c r="AI101" t="str">
        <f>IF(Analiza_wRankingach[[#This Row],[LiczbaWystąpień]]&gt;=T102,"OK","UWAGA")</f>
        <v>OK</v>
      </c>
    </row>
    <row r="102" spans="1:35" x14ac:dyDescent="0.45">
      <c r="A102">
        <v>100</v>
      </c>
      <c r="B102" t="str">
        <f>Analiza_wRankingach[[#This Row],[Nazwa uczelni]]</f>
        <v>McMaster University</v>
      </c>
      <c r="C102">
        <f>Analiza_wRankingach[[#This Row],[WartośćKontrolna]]</f>
        <v>675</v>
      </c>
      <c r="D102">
        <f>Analiza_wRankingach[[#This Row],[THE_RV]]</f>
        <v>85</v>
      </c>
      <c r="E102">
        <f>Analiza_wRankingach[[#This Row],[ARWU_RV]]</f>
        <v>90</v>
      </c>
      <c r="F102">
        <f>Analiza_wRankingach[[#This Row],[QS_RV]]</f>
        <v>0</v>
      </c>
      <c r="G102">
        <f>Analiza_wRankingach[[#This Row],[Webometrics_RV]]</f>
        <v>0</v>
      </c>
      <c r="I102" t="s">
        <v>622</v>
      </c>
      <c r="J102">
        <v>100</v>
      </c>
      <c r="K102" t="s">
        <v>622</v>
      </c>
      <c r="L102">
        <v>99</v>
      </c>
      <c r="M102" t="s">
        <v>848</v>
      </c>
      <c r="O102" t="s">
        <v>428</v>
      </c>
      <c r="P102">
        <f>IF(SUMIFS(StandardName[IDinTheRanking],StandardName[StandardizedName],Analiza_wRankingach[[#This Row],[Nazwa uczelni]],StandardName[Ranking],"=THE")&gt;0,1,0)</f>
        <v>1</v>
      </c>
      <c r="Q102">
        <f>IF(SUMIFS(StandardName[IDinTheRanking],StandardName[StandardizedName],Analiza_wRankingach[[#This Row],[Nazwa uczelni]],StandardName[Ranking],"=ARWU")&gt;0,1,0)</f>
        <v>1</v>
      </c>
      <c r="R102">
        <f>IF(SUMIFS(StandardName[IDinTheRanking],StandardName[StandardizedName],Analiza_wRankingach[[#This Row],[Nazwa uczelni]],StandardName[Ranking],"=QS")&gt;0,1,0)</f>
        <v>0</v>
      </c>
      <c r="S102">
        <f>IF(SUMIFS(StandardName[IDinTheRanking],StandardName[StandardizedName],Analiza_wRankingach[[#This Row],[Nazwa uczelni]],StandardName[Ranking],"=Webometrics")&gt;0,1,0)</f>
        <v>0</v>
      </c>
      <c r="T102">
        <f>SUM(Analiza_wRankingach[[#This Row],[THE]:[Webometrics]])</f>
        <v>2</v>
      </c>
      <c r="U102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85</v>
      </c>
      <c r="V102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90</v>
      </c>
      <c r="W102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250</v>
      </c>
      <c r="X102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250</v>
      </c>
      <c r="Y102">
        <f>SUM(Analiza_wRankingach[[#This Row],[THE_RV1000]:[Webometrics_RV1000]])</f>
        <v>675</v>
      </c>
      <c r="Z102">
        <f>SUMIFS(StandardName[RankValueInTheRanking],StandardName[StandardizedName],Analiza_wRankingach[[#This Row],[Nazwa uczelni]],StandardName[Ranking],"=THE")</f>
        <v>85</v>
      </c>
      <c r="AA102">
        <f>SUMIFS(StandardName[RankValueInTheRanking],StandardName[StandardizedName],Analiza_wRankingach[[#This Row],[Nazwa uczelni]],StandardName[Ranking],"=ARWU")</f>
        <v>90</v>
      </c>
      <c r="AB102">
        <f>SUMIFS(StandardName[RankValueInTheRanking],StandardName[StandardizedName],Analiza_wRankingach[[#This Row],[Nazwa uczelni]],StandardName[Ranking],"=QS")</f>
        <v>0</v>
      </c>
      <c r="AC102">
        <f>SUMIFS(StandardName[RankValueInTheRanking],StandardName[StandardizedName],Analiza_wRankingach[[#This Row],[Nazwa uczelni]],StandardName[Ranking],"=Webometrics")</f>
        <v>0</v>
      </c>
      <c r="AD102">
        <f>SUMIFS(StandardName[IDinTheRanking],StandardName[StandardizedName],Analiza_wRankingach[[#This Row],[Nazwa uczelni]],StandardName[Ranking],"=THE")</f>
        <v>85</v>
      </c>
      <c r="AE102">
        <f>SUMIFS(StandardName[IDinTheRanking],StandardName[StandardizedName],Analiza_wRankingach[[#This Row],[Nazwa uczelni]],StandardName[Ranking],"=ARWU")</f>
        <v>90</v>
      </c>
      <c r="AF102">
        <f>SUMIFS(StandardName[IDinTheRanking],StandardName[StandardizedName],Analiza_wRankingach[[#This Row],[Nazwa uczelni]],StandardName[Ranking],"=QS")</f>
        <v>0</v>
      </c>
      <c r="AG102">
        <f>SUMIFS(StandardName[IDinTheRanking],StandardName[StandardizedName],Analiza_wRankingach[[#This Row],[Nazwa uczelni]],StandardName[Ranking],"=Webometrics")</f>
        <v>0</v>
      </c>
      <c r="AH102">
        <f>SUM(Analiza_wRankingach[[#This Row],[THE_ID]:[Webometrics_ID]])</f>
        <v>175</v>
      </c>
      <c r="AI102" t="str">
        <f>IF(Analiza_wRankingach[[#This Row],[LiczbaWystąpień]]&gt;=T103,"OK","UWAGA")</f>
        <v>OK</v>
      </c>
    </row>
    <row r="103" spans="1:35" x14ac:dyDescent="0.45">
      <c r="A103">
        <v>101</v>
      </c>
      <c r="B103" t="str">
        <f>Analiza_wRankingach[[#This Row],[Nazwa uczelni]]</f>
        <v>University of Helsinki</v>
      </c>
      <c r="C103">
        <f>Analiza_wRankingach[[#This Row],[WartośćKontrolna]]</f>
        <v>685</v>
      </c>
      <c r="D103">
        <f>Analiza_wRankingach[[#This Row],[THE_RV]]</f>
        <v>0</v>
      </c>
      <c r="E103">
        <f>Analiza_wRankingach[[#This Row],[ARWU_RV]]</f>
        <v>92</v>
      </c>
      <c r="F103">
        <f>Analiza_wRankingach[[#This Row],[QS_RV]]</f>
        <v>0</v>
      </c>
      <c r="G103">
        <f>Analiza_wRankingach[[#This Row],[Webometrics_RV]]</f>
        <v>93</v>
      </c>
      <c r="I103" t="s">
        <v>493</v>
      </c>
      <c r="J103">
        <v>1</v>
      </c>
      <c r="K103" t="s">
        <v>27</v>
      </c>
      <c r="L103">
        <v>1</v>
      </c>
      <c r="M103" t="s">
        <v>849</v>
      </c>
      <c r="O103" t="s">
        <v>618</v>
      </c>
      <c r="P103">
        <f>IF(SUMIFS(StandardName[IDinTheRanking],StandardName[StandardizedName],Analiza_wRankingach[[#This Row],[Nazwa uczelni]],StandardName[Ranking],"=THE")&gt;0,1,0)</f>
        <v>0</v>
      </c>
      <c r="Q103">
        <f>IF(SUMIFS(StandardName[IDinTheRanking],StandardName[StandardizedName],Analiza_wRankingach[[#This Row],[Nazwa uczelni]],StandardName[Ranking],"=ARWU")&gt;0,1,0)</f>
        <v>1</v>
      </c>
      <c r="R103">
        <f>IF(SUMIFS(StandardName[IDinTheRanking],StandardName[StandardizedName],Analiza_wRankingach[[#This Row],[Nazwa uczelni]],StandardName[Ranking],"=QS")&gt;0,1,0)</f>
        <v>0</v>
      </c>
      <c r="S103">
        <f>IF(SUMIFS(StandardName[IDinTheRanking],StandardName[StandardizedName],Analiza_wRankingach[[#This Row],[Nazwa uczelni]],StandardName[Ranking],"=Webometrics")&gt;0,1,0)</f>
        <v>1</v>
      </c>
      <c r="T103">
        <f>SUM(Analiza_wRankingach[[#This Row],[THE]:[Webometrics]])</f>
        <v>2</v>
      </c>
      <c r="U103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250</v>
      </c>
      <c r="V103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92</v>
      </c>
      <c r="W103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250</v>
      </c>
      <c r="X103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93</v>
      </c>
      <c r="Y103">
        <f>SUM(Analiza_wRankingach[[#This Row],[THE_RV1000]:[Webometrics_RV1000]])</f>
        <v>685</v>
      </c>
      <c r="Z103">
        <f>SUMIFS(StandardName[RankValueInTheRanking],StandardName[StandardizedName],Analiza_wRankingach[[#This Row],[Nazwa uczelni]],StandardName[Ranking],"=THE")</f>
        <v>0</v>
      </c>
      <c r="AA103">
        <f>SUMIFS(StandardName[RankValueInTheRanking],StandardName[StandardizedName],Analiza_wRankingach[[#This Row],[Nazwa uczelni]],StandardName[Ranking],"=ARWU")</f>
        <v>92</v>
      </c>
      <c r="AB103">
        <f>SUMIFS(StandardName[RankValueInTheRanking],StandardName[StandardizedName],Analiza_wRankingach[[#This Row],[Nazwa uczelni]],StandardName[Ranking],"=QS")</f>
        <v>0</v>
      </c>
      <c r="AC103">
        <f>SUMIFS(StandardName[RankValueInTheRanking],StandardName[StandardizedName],Analiza_wRankingach[[#This Row],[Nazwa uczelni]],StandardName[Ranking],"=Webometrics")</f>
        <v>93</v>
      </c>
      <c r="AD103">
        <f>SUMIFS(StandardName[IDinTheRanking],StandardName[StandardizedName],Analiza_wRankingach[[#This Row],[Nazwa uczelni]],StandardName[Ranking],"=THE")</f>
        <v>0</v>
      </c>
      <c r="AE103">
        <f>SUMIFS(StandardName[IDinTheRanking],StandardName[StandardizedName],Analiza_wRankingach[[#This Row],[Nazwa uczelni]],StandardName[Ranking],"=ARWU")</f>
        <v>93</v>
      </c>
      <c r="AF103">
        <f>SUMIFS(StandardName[IDinTheRanking],StandardName[StandardizedName],Analiza_wRankingach[[#This Row],[Nazwa uczelni]],StandardName[Ranking],"=QS")</f>
        <v>0</v>
      </c>
      <c r="AG103">
        <f>SUMIFS(StandardName[IDinTheRanking],StandardName[StandardizedName],Analiza_wRankingach[[#This Row],[Nazwa uczelni]],StandardName[Ranking],"=Webometrics")</f>
        <v>93</v>
      </c>
      <c r="AH103">
        <f>SUM(Analiza_wRankingach[[#This Row],[THE_ID]:[Webometrics_ID]])</f>
        <v>186</v>
      </c>
      <c r="AI103" t="str">
        <f>IF(Analiza_wRankingach[[#This Row],[LiczbaWystąpień]]&gt;=T104,"OK","UWAGA")</f>
        <v>OK</v>
      </c>
    </row>
    <row r="104" spans="1:35" x14ac:dyDescent="0.45">
      <c r="A104">
        <v>102</v>
      </c>
      <c r="B104" t="str">
        <f>Analiza_wRankingach[[#This Row],[Nazwa uczelni]]</f>
        <v>University of Adelaide</v>
      </c>
      <c r="C104">
        <f>Analiza_wRankingach[[#This Row],[WartośćKontrolna]]</f>
        <v>687</v>
      </c>
      <c r="D104">
        <f>Analiza_wRankingach[[#This Row],[THE_RV]]</f>
        <v>88</v>
      </c>
      <c r="E104">
        <f>Analiza_wRankingach[[#This Row],[ARWU_RV]]</f>
        <v>0</v>
      </c>
      <c r="F104">
        <f>Analiza_wRankingach[[#This Row],[QS_RV]]</f>
        <v>0</v>
      </c>
      <c r="G104">
        <f>Analiza_wRankingach[[#This Row],[Webometrics_RV]]</f>
        <v>99</v>
      </c>
      <c r="I104" t="s">
        <v>15</v>
      </c>
      <c r="J104">
        <v>2</v>
      </c>
      <c r="K104" t="s">
        <v>15</v>
      </c>
      <c r="L104">
        <v>2</v>
      </c>
      <c r="M104" t="s">
        <v>849</v>
      </c>
      <c r="O104" t="s">
        <v>440</v>
      </c>
      <c r="P104">
        <f>IF(SUMIFS(StandardName[IDinTheRanking],StandardName[StandardizedName],Analiza_wRankingach[[#This Row],[Nazwa uczelni]],StandardName[Ranking],"=THE")&gt;0,1,0)</f>
        <v>1</v>
      </c>
      <c r="Q104">
        <f>IF(SUMIFS(StandardName[IDinTheRanking],StandardName[StandardizedName],Analiza_wRankingach[[#This Row],[Nazwa uczelni]],StandardName[Ranking],"=ARWU")&gt;0,1,0)</f>
        <v>0</v>
      </c>
      <c r="R104">
        <f>IF(SUMIFS(StandardName[IDinTheRanking],StandardName[StandardizedName],Analiza_wRankingach[[#This Row],[Nazwa uczelni]],StandardName[Ranking],"=QS")&gt;0,1,0)</f>
        <v>0</v>
      </c>
      <c r="S104">
        <f>IF(SUMIFS(StandardName[IDinTheRanking],StandardName[StandardizedName],Analiza_wRankingach[[#This Row],[Nazwa uczelni]],StandardName[Ranking],"=Webometrics")&gt;0,1,0)</f>
        <v>1</v>
      </c>
      <c r="T104">
        <f>SUM(Analiza_wRankingach[[#This Row],[THE]:[Webometrics]])</f>
        <v>2</v>
      </c>
      <c r="U104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88</v>
      </c>
      <c r="V104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250</v>
      </c>
      <c r="W104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250</v>
      </c>
      <c r="X104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99</v>
      </c>
      <c r="Y104">
        <f>SUM(Analiza_wRankingach[[#This Row],[THE_RV1000]:[Webometrics_RV1000]])</f>
        <v>687</v>
      </c>
      <c r="Z104">
        <f>SUMIFS(StandardName[RankValueInTheRanking],StandardName[StandardizedName],Analiza_wRankingach[[#This Row],[Nazwa uczelni]],StandardName[Ranking],"=THE")</f>
        <v>88</v>
      </c>
      <c r="AA104">
        <f>SUMIFS(StandardName[RankValueInTheRanking],StandardName[StandardizedName],Analiza_wRankingach[[#This Row],[Nazwa uczelni]],StandardName[Ranking],"=ARWU")</f>
        <v>0</v>
      </c>
      <c r="AB104">
        <f>SUMIFS(StandardName[RankValueInTheRanking],StandardName[StandardizedName],Analiza_wRankingach[[#This Row],[Nazwa uczelni]],StandardName[Ranking],"=QS")</f>
        <v>0</v>
      </c>
      <c r="AC104">
        <f>SUMIFS(StandardName[RankValueInTheRanking],StandardName[StandardizedName],Analiza_wRankingach[[#This Row],[Nazwa uczelni]],StandardName[Ranking],"=Webometrics")</f>
        <v>99</v>
      </c>
      <c r="AD104">
        <f>SUMIFS(StandardName[IDinTheRanking],StandardName[StandardizedName],Analiza_wRankingach[[#This Row],[Nazwa uczelni]],StandardName[Ranking],"=THE")</f>
        <v>88</v>
      </c>
      <c r="AE104">
        <f>SUMIFS(StandardName[IDinTheRanking],StandardName[StandardizedName],Analiza_wRankingach[[#This Row],[Nazwa uczelni]],StandardName[Ranking],"=ARWU")</f>
        <v>0</v>
      </c>
      <c r="AF104">
        <f>SUMIFS(StandardName[IDinTheRanking],StandardName[StandardizedName],Analiza_wRankingach[[#This Row],[Nazwa uczelni]],StandardName[Ranking],"=QS")</f>
        <v>0</v>
      </c>
      <c r="AG104">
        <f>SUMIFS(StandardName[IDinTheRanking],StandardName[StandardizedName],Analiza_wRankingach[[#This Row],[Nazwa uczelni]],StandardName[Ranking],"=Webometrics")</f>
        <v>99</v>
      </c>
      <c r="AH104">
        <f>SUM(Analiza_wRankingach[[#This Row],[THE_ID]:[Webometrics_ID]])</f>
        <v>187</v>
      </c>
      <c r="AI104" t="str">
        <f>IF(Analiza_wRankingach[[#This Row],[LiczbaWystąpień]]&gt;=T105,"OK","UWAGA")</f>
        <v>OK</v>
      </c>
    </row>
    <row r="105" spans="1:35" x14ac:dyDescent="0.45">
      <c r="A105">
        <v>103</v>
      </c>
      <c r="B105" t="str">
        <f>Analiza_wRankingach[[#This Row],[Nazwa uczelni]]</f>
        <v>The University of Western Australia</v>
      </c>
      <c r="C105">
        <f>Analiza_wRankingach[[#This Row],[WartośćKontrolna]]</f>
        <v>689</v>
      </c>
      <c r="D105">
        <f>Analiza_wRankingach[[#This Row],[THE_RV]]</f>
        <v>0</v>
      </c>
      <c r="E105">
        <f>Analiza_wRankingach[[#This Row],[ARWU_RV]]</f>
        <v>99</v>
      </c>
      <c r="F105">
        <f>Analiza_wRankingach[[#This Row],[QS_RV]]</f>
        <v>90</v>
      </c>
      <c r="G105">
        <f>Analiza_wRankingach[[#This Row],[Webometrics_RV]]</f>
        <v>0</v>
      </c>
      <c r="I105" t="s">
        <v>21</v>
      </c>
      <c r="J105">
        <v>3</v>
      </c>
      <c r="K105" t="s">
        <v>21</v>
      </c>
      <c r="L105">
        <v>3</v>
      </c>
      <c r="M105" t="s">
        <v>849</v>
      </c>
      <c r="O105" t="s">
        <v>622</v>
      </c>
      <c r="P105">
        <f>IF(SUMIFS(StandardName[IDinTheRanking],StandardName[StandardizedName],Analiza_wRankingach[[#This Row],[Nazwa uczelni]],StandardName[Ranking],"=THE")&gt;0,1,0)</f>
        <v>0</v>
      </c>
      <c r="Q105">
        <f>IF(SUMIFS(StandardName[IDinTheRanking],StandardName[StandardizedName],Analiza_wRankingach[[#This Row],[Nazwa uczelni]],StandardName[Ranking],"=ARWU")&gt;0,1,0)</f>
        <v>1</v>
      </c>
      <c r="R105">
        <f>IF(SUMIFS(StandardName[IDinTheRanking],StandardName[StandardizedName],Analiza_wRankingach[[#This Row],[Nazwa uczelni]],StandardName[Ranking],"=QS")&gt;0,1,0)</f>
        <v>1</v>
      </c>
      <c r="S105">
        <f>IF(SUMIFS(StandardName[IDinTheRanking],StandardName[StandardizedName],Analiza_wRankingach[[#This Row],[Nazwa uczelni]],StandardName[Ranking],"=Webometrics")&gt;0,1,0)</f>
        <v>0</v>
      </c>
      <c r="T105">
        <f>SUM(Analiza_wRankingach[[#This Row],[THE]:[Webometrics]])</f>
        <v>2</v>
      </c>
      <c r="U105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250</v>
      </c>
      <c r="V105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99</v>
      </c>
      <c r="W105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90</v>
      </c>
      <c r="X105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250</v>
      </c>
      <c r="Y105">
        <f>SUM(Analiza_wRankingach[[#This Row],[THE_RV1000]:[Webometrics_RV1000]])</f>
        <v>689</v>
      </c>
      <c r="Z105">
        <f>SUMIFS(StandardName[RankValueInTheRanking],StandardName[StandardizedName],Analiza_wRankingach[[#This Row],[Nazwa uczelni]],StandardName[Ranking],"=THE")</f>
        <v>0</v>
      </c>
      <c r="AA105">
        <f>SUMIFS(StandardName[RankValueInTheRanking],StandardName[StandardizedName],Analiza_wRankingach[[#This Row],[Nazwa uczelni]],StandardName[Ranking],"=ARWU")</f>
        <v>99</v>
      </c>
      <c r="AB105">
        <f>SUMIFS(StandardName[RankValueInTheRanking],StandardName[StandardizedName],Analiza_wRankingach[[#This Row],[Nazwa uczelni]],StandardName[Ranking],"=QS")</f>
        <v>90</v>
      </c>
      <c r="AC105">
        <f>SUMIFS(StandardName[RankValueInTheRanking],StandardName[StandardizedName],Analiza_wRankingach[[#This Row],[Nazwa uczelni]],StandardName[Ranking],"=Webometrics")</f>
        <v>0</v>
      </c>
      <c r="AD105">
        <f>SUMIFS(StandardName[IDinTheRanking],StandardName[StandardizedName],Analiza_wRankingach[[#This Row],[Nazwa uczelni]],StandardName[Ranking],"=THE")</f>
        <v>0</v>
      </c>
      <c r="AE105">
        <f>SUMIFS(StandardName[IDinTheRanking],StandardName[StandardizedName],Analiza_wRankingach[[#This Row],[Nazwa uczelni]],StandardName[Ranking],"=ARWU")</f>
        <v>100</v>
      </c>
      <c r="AF105">
        <f>SUMIFS(StandardName[IDinTheRanking],StandardName[StandardizedName],Analiza_wRankingach[[#This Row],[Nazwa uczelni]],StandardName[Ranking],"=QS")</f>
        <v>90</v>
      </c>
      <c r="AG105">
        <f>SUMIFS(StandardName[IDinTheRanking],StandardName[StandardizedName],Analiza_wRankingach[[#This Row],[Nazwa uczelni]],StandardName[Ranking],"=Webometrics")</f>
        <v>0</v>
      </c>
      <c r="AH105">
        <f>SUM(Analiza_wRankingach[[#This Row],[THE_ID]:[Webometrics_ID]])</f>
        <v>190</v>
      </c>
      <c r="AI105" t="str">
        <f>IF(Analiza_wRankingach[[#This Row],[LiczbaWystąpień]]&gt;=T106,"OK","UWAGA")</f>
        <v>OK</v>
      </c>
    </row>
    <row r="106" spans="1:35" x14ac:dyDescent="0.45">
      <c r="A106">
        <v>104</v>
      </c>
      <c r="B106" t="str">
        <f>Analiza_wRankingach[[#This Row],[Nazwa uczelni]]</f>
        <v>Ohio State University</v>
      </c>
      <c r="C106">
        <f>Analiza_wRankingach[[#This Row],[WartośćKontrolna]]</f>
        <v>786</v>
      </c>
      <c r="D106">
        <f>Analiza_wRankingach[[#This Row],[THE_RV]]</f>
        <v>0</v>
      </c>
      <c r="E106">
        <f>Analiza_wRankingach[[#This Row],[ARWU_RV]]</f>
        <v>0</v>
      </c>
      <c r="F106">
        <f>Analiza_wRankingach[[#This Row],[QS_RV]]</f>
        <v>0</v>
      </c>
      <c r="G106">
        <f>Analiza_wRankingach[[#This Row],[Webometrics_RV]]</f>
        <v>36</v>
      </c>
      <c r="I106" t="s">
        <v>0</v>
      </c>
      <c r="J106">
        <v>4</v>
      </c>
      <c r="K106" t="s">
        <v>0</v>
      </c>
      <c r="L106">
        <v>4</v>
      </c>
      <c r="M106" t="s">
        <v>849</v>
      </c>
      <c r="O106" t="s">
        <v>806</v>
      </c>
      <c r="P106">
        <f>IF(SUMIFS(StandardName[IDinTheRanking],StandardName[StandardizedName],Analiza_wRankingach[[#This Row],[Nazwa uczelni]],StandardName[Ranking],"=THE")&gt;0,1,0)</f>
        <v>0</v>
      </c>
      <c r="Q106">
        <f>IF(SUMIFS(StandardName[IDinTheRanking],StandardName[StandardizedName],Analiza_wRankingach[[#This Row],[Nazwa uczelni]],StandardName[Ranking],"=ARWU")&gt;0,1,0)</f>
        <v>0</v>
      </c>
      <c r="R106">
        <f>IF(SUMIFS(StandardName[IDinTheRanking],StandardName[StandardizedName],Analiza_wRankingach[[#This Row],[Nazwa uczelni]],StandardName[Ranking],"=QS")&gt;0,1,0)</f>
        <v>0</v>
      </c>
      <c r="S106">
        <f>IF(SUMIFS(StandardName[IDinTheRanking],StandardName[StandardizedName],Analiza_wRankingach[[#This Row],[Nazwa uczelni]],StandardName[Ranking],"=Webometrics")&gt;0,1,0)</f>
        <v>1</v>
      </c>
      <c r="T106">
        <f>SUM(Analiza_wRankingach[[#This Row],[THE]:[Webometrics]])</f>
        <v>1</v>
      </c>
      <c r="U106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250</v>
      </c>
      <c r="V106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250</v>
      </c>
      <c r="W106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250</v>
      </c>
      <c r="X106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36</v>
      </c>
      <c r="Y106">
        <f>SUM(Analiza_wRankingach[[#This Row],[THE_RV1000]:[Webometrics_RV1000]])</f>
        <v>786</v>
      </c>
      <c r="Z106">
        <f>SUMIFS(StandardName[RankValueInTheRanking],StandardName[StandardizedName],Analiza_wRankingach[[#This Row],[Nazwa uczelni]],StandardName[Ranking],"=THE")</f>
        <v>0</v>
      </c>
      <c r="AA106">
        <f>SUMIFS(StandardName[RankValueInTheRanking],StandardName[StandardizedName],Analiza_wRankingach[[#This Row],[Nazwa uczelni]],StandardName[Ranking],"=ARWU")</f>
        <v>0</v>
      </c>
      <c r="AB106">
        <f>SUMIFS(StandardName[RankValueInTheRanking],StandardName[StandardizedName],Analiza_wRankingach[[#This Row],[Nazwa uczelni]],StandardName[Ranking],"=QS")</f>
        <v>0</v>
      </c>
      <c r="AC106">
        <f>SUMIFS(StandardName[RankValueInTheRanking],StandardName[StandardizedName],Analiza_wRankingach[[#This Row],[Nazwa uczelni]],StandardName[Ranking],"=Webometrics")</f>
        <v>36</v>
      </c>
      <c r="AD106">
        <f>SUMIFS(StandardName[IDinTheRanking],StandardName[StandardizedName],Analiza_wRankingach[[#This Row],[Nazwa uczelni]],StandardName[Ranking],"=THE")</f>
        <v>0</v>
      </c>
      <c r="AE106">
        <f>SUMIFS(StandardName[IDinTheRanking],StandardName[StandardizedName],Analiza_wRankingach[[#This Row],[Nazwa uczelni]],StandardName[Ranking],"=ARWU")</f>
        <v>0</v>
      </c>
      <c r="AF106">
        <f>SUMIFS(StandardName[IDinTheRanking],StandardName[StandardizedName],Analiza_wRankingach[[#This Row],[Nazwa uczelni]],StandardName[Ranking],"=QS")</f>
        <v>0</v>
      </c>
      <c r="AG106">
        <f>SUMIFS(StandardName[IDinTheRanking],StandardName[StandardizedName],Analiza_wRankingach[[#This Row],[Nazwa uczelni]],StandardName[Ranking],"=Webometrics")</f>
        <v>36</v>
      </c>
      <c r="AH106">
        <f>SUM(Analiza_wRankingach[[#This Row],[THE_ID]:[Webometrics_ID]])</f>
        <v>36</v>
      </c>
      <c r="AI106" t="str">
        <f>IF(Analiza_wRankingach[[#This Row],[LiczbaWystąpień]]&gt;=T107,"OK","UWAGA")</f>
        <v>OK</v>
      </c>
    </row>
    <row r="107" spans="1:35" x14ac:dyDescent="0.45">
      <c r="A107">
        <v>105</v>
      </c>
      <c r="B107" t="str">
        <f>Analiza_wRankingach[[#This Row],[Nazwa uczelni]]</f>
        <v>University of Maryland College Park</v>
      </c>
      <c r="C107">
        <f>Analiza_wRankingach[[#This Row],[WartośćKontrolna]]</f>
        <v>793</v>
      </c>
      <c r="D107">
        <f>Analiza_wRankingach[[#This Row],[THE_RV]]</f>
        <v>0</v>
      </c>
      <c r="E107">
        <f>Analiza_wRankingach[[#This Row],[ARWU_RV]]</f>
        <v>0</v>
      </c>
      <c r="F107">
        <f>Analiza_wRankingach[[#This Row],[QS_RV]]</f>
        <v>0</v>
      </c>
      <c r="G107">
        <f>Analiza_wRankingach[[#This Row],[Webometrics_RV]]</f>
        <v>43</v>
      </c>
      <c r="I107" t="s">
        <v>8</v>
      </c>
      <c r="J107">
        <v>5</v>
      </c>
      <c r="K107" t="s">
        <v>8</v>
      </c>
      <c r="L107">
        <v>5</v>
      </c>
      <c r="M107" t="s">
        <v>849</v>
      </c>
      <c r="O107" t="s">
        <v>812</v>
      </c>
      <c r="P107">
        <f>IF(SUMIFS(StandardName[IDinTheRanking],StandardName[StandardizedName],Analiza_wRankingach[[#This Row],[Nazwa uczelni]],StandardName[Ranking],"=THE")&gt;0,1,0)</f>
        <v>0</v>
      </c>
      <c r="Q107">
        <f>IF(SUMIFS(StandardName[IDinTheRanking],StandardName[StandardizedName],Analiza_wRankingach[[#This Row],[Nazwa uczelni]],StandardName[Ranking],"=ARWU")&gt;0,1,0)</f>
        <v>0</v>
      </c>
      <c r="R107">
        <f>IF(SUMIFS(StandardName[IDinTheRanking],StandardName[StandardizedName],Analiza_wRankingach[[#This Row],[Nazwa uczelni]],StandardName[Ranking],"=QS")&gt;0,1,0)</f>
        <v>0</v>
      </c>
      <c r="S107">
        <f>IF(SUMIFS(StandardName[IDinTheRanking],StandardName[StandardizedName],Analiza_wRankingach[[#This Row],[Nazwa uczelni]],StandardName[Ranking],"=Webometrics")&gt;0,1,0)</f>
        <v>1</v>
      </c>
      <c r="T107">
        <f>SUM(Analiza_wRankingach[[#This Row],[THE]:[Webometrics]])</f>
        <v>1</v>
      </c>
      <c r="U107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250</v>
      </c>
      <c r="V107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250</v>
      </c>
      <c r="W107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250</v>
      </c>
      <c r="X107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43</v>
      </c>
      <c r="Y107">
        <f>SUM(Analiza_wRankingach[[#This Row],[THE_RV1000]:[Webometrics_RV1000]])</f>
        <v>793</v>
      </c>
      <c r="Z107">
        <f>SUMIFS(StandardName[RankValueInTheRanking],StandardName[StandardizedName],Analiza_wRankingach[[#This Row],[Nazwa uczelni]],StandardName[Ranking],"=THE")</f>
        <v>0</v>
      </c>
      <c r="AA107">
        <f>SUMIFS(StandardName[RankValueInTheRanking],StandardName[StandardizedName],Analiza_wRankingach[[#This Row],[Nazwa uczelni]],StandardName[Ranking],"=ARWU")</f>
        <v>0</v>
      </c>
      <c r="AB107">
        <f>SUMIFS(StandardName[RankValueInTheRanking],StandardName[StandardizedName],Analiza_wRankingach[[#This Row],[Nazwa uczelni]],StandardName[Ranking],"=QS")</f>
        <v>0</v>
      </c>
      <c r="AC107">
        <f>SUMIFS(StandardName[RankValueInTheRanking],StandardName[StandardizedName],Analiza_wRankingach[[#This Row],[Nazwa uczelni]],StandardName[Ranking],"=Webometrics")</f>
        <v>43</v>
      </c>
      <c r="AD107">
        <f>SUMIFS(StandardName[IDinTheRanking],StandardName[StandardizedName],Analiza_wRankingach[[#This Row],[Nazwa uczelni]],StandardName[Ranking],"=THE")</f>
        <v>0</v>
      </c>
      <c r="AE107">
        <f>SUMIFS(StandardName[IDinTheRanking],StandardName[StandardizedName],Analiza_wRankingach[[#This Row],[Nazwa uczelni]],StandardName[Ranking],"=ARWU")</f>
        <v>0</v>
      </c>
      <c r="AF107">
        <f>SUMIFS(StandardName[IDinTheRanking],StandardName[StandardizedName],Analiza_wRankingach[[#This Row],[Nazwa uczelni]],StandardName[Ranking],"=QS")</f>
        <v>0</v>
      </c>
      <c r="AG107">
        <f>SUMIFS(StandardName[IDinTheRanking],StandardName[StandardizedName],Analiza_wRankingach[[#This Row],[Nazwa uczelni]],StandardName[Ranking],"=Webometrics")</f>
        <v>43</v>
      </c>
      <c r="AH107">
        <f>SUM(Analiza_wRankingach[[#This Row],[THE_ID]:[Webometrics_ID]])</f>
        <v>43</v>
      </c>
      <c r="AI107" t="str">
        <f>IF(Analiza_wRankingach[[#This Row],[LiczbaWystąpień]]&gt;=T108,"OK","UWAGA")</f>
        <v>OK</v>
      </c>
    </row>
    <row r="108" spans="1:35" x14ac:dyDescent="0.45">
      <c r="A108">
        <v>106</v>
      </c>
      <c r="B108" t="str">
        <f>Analiza_wRankingach[[#This Row],[Nazwa uczelni]]</f>
        <v>Rockefeller University</v>
      </c>
      <c r="C108">
        <f>Analiza_wRankingach[[#This Row],[WartośćKontrolna]]</f>
        <v>794</v>
      </c>
      <c r="D108">
        <f>Analiza_wRankingach[[#This Row],[THE_RV]]</f>
        <v>0</v>
      </c>
      <c r="E108">
        <f>Analiza_wRankingach[[#This Row],[ARWU_RV]]</f>
        <v>44</v>
      </c>
      <c r="F108">
        <f>Analiza_wRankingach[[#This Row],[QS_RV]]</f>
        <v>0</v>
      </c>
      <c r="G108">
        <f>Analiza_wRankingach[[#This Row],[Webometrics_RV]]</f>
        <v>0</v>
      </c>
      <c r="I108" t="s">
        <v>637</v>
      </c>
      <c r="J108">
        <v>6</v>
      </c>
      <c r="K108" t="s">
        <v>31</v>
      </c>
      <c r="L108">
        <v>6</v>
      </c>
      <c r="M108" t="s">
        <v>849</v>
      </c>
      <c r="O108" t="s">
        <v>552</v>
      </c>
      <c r="P108">
        <f>IF(SUMIFS(StandardName[IDinTheRanking],StandardName[StandardizedName],Analiza_wRankingach[[#This Row],[Nazwa uczelni]],StandardName[Ranking],"=THE")&gt;0,1,0)</f>
        <v>0</v>
      </c>
      <c r="Q108">
        <f>IF(SUMIFS(StandardName[IDinTheRanking],StandardName[StandardizedName],Analiza_wRankingach[[#This Row],[Nazwa uczelni]],StandardName[Ranking],"=ARWU")&gt;0,1,0)</f>
        <v>1</v>
      </c>
      <c r="R108">
        <f>IF(SUMIFS(StandardName[IDinTheRanking],StandardName[StandardizedName],Analiza_wRankingach[[#This Row],[Nazwa uczelni]],StandardName[Ranking],"=QS")&gt;0,1,0)</f>
        <v>0</v>
      </c>
      <c r="S108">
        <f>IF(SUMIFS(StandardName[IDinTheRanking],StandardName[StandardizedName],Analiza_wRankingach[[#This Row],[Nazwa uczelni]],StandardName[Ranking],"=Webometrics")&gt;0,1,0)</f>
        <v>0</v>
      </c>
      <c r="T108">
        <f>SUM(Analiza_wRankingach[[#This Row],[THE]:[Webometrics]])</f>
        <v>1</v>
      </c>
      <c r="U108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250</v>
      </c>
      <c r="V108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44</v>
      </c>
      <c r="W108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250</v>
      </c>
      <c r="X108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250</v>
      </c>
      <c r="Y108">
        <f>SUM(Analiza_wRankingach[[#This Row],[THE_RV1000]:[Webometrics_RV1000]])</f>
        <v>794</v>
      </c>
      <c r="Z108">
        <f>SUMIFS(StandardName[RankValueInTheRanking],StandardName[StandardizedName],Analiza_wRankingach[[#This Row],[Nazwa uczelni]],StandardName[Ranking],"=THE")</f>
        <v>0</v>
      </c>
      <c r="AA108">
        <f>SUMIFS(StandardName[RankValueInTheRanking],StandardName[StandardizedName],Analiza_wRankingach[[#This Row],[Nazwa uczelni]],StandardName[Ranking],"=ARWU")</f>
        <v>44</v>
      </c>
      <c r="AB108">
        <f>SUMIFS(StandardName[RankValueInTheRanking],StandardName[StandardizedName],Analiza_wRankingach[[#This Row],[Nazwa uczelni]],StandardName[Ranking],"=QS")</f>
        <v>0</v>
      </c>
      <c r="AC108">
        <f>SUMIFS(StandardName[RankValueInTheRanking],StandardName[StandardizedName],Analiza_wRankingach[[#This Row],[Nazwa uczelni]],StandardName[Ranking],"=Webometrics")</f>
        <v>0</v>
      </c>
      <c r="AD108">
        <f>SUMIFS(StandardName[IDinTheRanking],StandardName[StandardizedName],Analiza_wRankingach[[#This Row],[Nazwa uczelni]],StandardName[Ranking],"=THE")</f>
        <v>0</v>
      </c>
      <c r="AE108">
        <f>SUMIFS(StandardName[IDinTheRanking],StandardName[StandardizedName],Analiza_wRankingach[[#This Row],[Nazwa uczelni]],StandardName[Ranking],"=ARWU")</f>
        <v>44</v>
      </c>
      <c r="AF108">
        <f>SUMIFS(StandardName[IDinTheRanking],StandardName[StandardizedName],Analiza_wRankingach[[#This Row],[Nazwa uczelni]],StandardName[Ranking],"=QS")</f>
        <v>0</v>
      </c>
      <c r="AG108">
        <f>SUMIFS(StandardName[IDinTheRanking],StandardName[StandardizedName],Analiza_wRankingach[[#This Row],[Nazwa uczelni]],StandardName[Ranking],"=Webometrics")</f>
        <v>0</v>
      </c>
      <c r="AH108">
        <f>SUM(Analiza_wRankingach[[#This Row],[THE_ID]:[Webometrics_ID]])</f>
        <v>44</v>
      </c>
      <c r="AI108" t="str">
        <f>IF(Analiza_wRankingach[[#This Row],[LiczbaWystąpień]]&gt;=T109,"OK","UWAGA")</f>
        <v>OK</v>
      </c>
    </row>
    <row r="109" spans="1:35" x14ac:dyDescent="0.45">
      <c r="A109">
        <v>107</v>
      </c>
      <c r="B109" t="str">
        <f>Analiza_wRankingach[[#This Row],[Nazwa uczelni]]</f>
        <v>Michigan State University</v>
      </c>
      <c r="C109">
        <f>Analiza_wRankingach[[#This Row],[WartośćKontrolna]]</f>
        <v>798</v>
      </c>
      <c r="D109">
        <f>Analiza_wRankingach[[#This Row],[THE_RV]]</f>
        <v>0</v>
      </c>
      <c r="E109">
        <f>Analiza_wRankingach[[#This Row],[ARWU_RV]]</f>
        <v>0</v>
      </c>
      <c r="F109">
        <f>Analiza_wRankingach[[#This Row],[QS_RV]]</f>
        <v>0</v>
      </c>
      <c r="G109">
        <f>Analiza_wRankingach[[#This Row],[Webometrics_RV]]</f>
        <v>48</v>
      </c>
      <c r="I109" t="s">
        <v>54</v>
      </c>
      <c r="J109">
        <v>7</v>
      </c>
      <c r="K109" t="s">
        <v>54</v>
      </c>
      <c r="L109">
        <v>6</v>
      </c>
      <c r="M109" t="s">
        <v>849</v>
      </c>
      <c r="O109" t="s">
        <v>814</v>
      </c>
      <c r="P109">
        <f>IF(SUMIFS(StandardName[IDinTheRanking],StandardName[StandardizedName],Analiza_wRankingach[[#This Row],[Nazwa uczelni]],StandardName[Ranking],"=THE")&gt;0,1,0)</f>
        <v>0</v>
      </c>
      <c r="Q109">
        <f>IF(SUMIFS(StandardName[IDinTheRanking],StandardName[StandardizedName],Analiza_wRankingach[[#This Row],[Nazwa uczelni]],StandardName[Ranking],"=ARWU")&gt;0,1,0)</f>
        <v>0</v>
      </c>
      <c r="R109">
        <f>IF(SUMIFS(StandardName[IDinTheRanking],StandardName[StandardizedName],Analiza_wRankingach[[#This Row],[Nazwa uczelni]],StandardName[Ranking],"=QS")&gt;0,1,0)</f>
        <v>0</v>
      </c>
      <c r="S109">
        <f>IF(SUMIFS(StandardName[IDinTheRanking],StandardName[StandardizedName],Analiza_wRankingach[[#This Row],[Nazwa uczelni]],StandardName[Ranking],"=Webometrics")&gt;0,1,0)</f>
        <v>1</v>
      </c>
      <c r="T109">
        <f>SUM(Analiza_wRankingach[[#This Row],[THE]:[Webometrics]])</f>
        <v>1</v>
      </c>
      <c r="U109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250</v>
      </c>
      <c r="V109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250</v>
      </c>
      <c r="W109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250</v>
      </c>
      <c r="X109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48</v>
      </c>
      <c r="Y109">
        <f>SUM(Analiza_wRankingach[[#This Row],[THE_RV1000]:[Webometrics_RV1000]])</f>
        <v>798</v>
      </c>
      <c r="Z109">
        <f>SUMIFS(StandardName[RankValueInTheRanking],StandardName[StandardizedName],Analiza_wRankingach[[#This Row],[Nazwa uczelni]],StandardName[Ranking],"=THE")</f>
        <v>0</v>
      </c>
      <c r="AA109">
        <f>SUMIFS(StandardName[RankValueInTheRanking],StandardName[StandardizedName],Analiza_wRankingach[[#This Row],[Nazwa uczelni]],StandardName[Ranking],"=ARWU")</f>
        <v>0</v>
      </c>
      <c r="AB109">
        <f>SUMIFS(StandardName[RankValueInTheRanking],StandardName[StandardizedName],Analiza_wRankingach[[#This Row],[Nazwa uczelni]],StandardName[Ranking],"=QS")</f>
        <v>0</v>
      </c>
      <c r="AC109">
        <f>SUMIFS(StandardName[RankValueInTheRanking],StandardName[StandardizedName],Analiza_wRankingach[[#This Row],[Nazwa uczelni]],StandardName[Ranking],"=Webometrics")</f>
        <v>48</v>
      </c>
      <c r="AD109">
        <f>SUMIFS(StandardName[IDinTheRanking],StandardName[StandardizedName],Analiza_wRankingach[[#This Row],[Nazwa uczelni]],StandardName[Ranking],"=THE")</f>
        <v>0</v>
      </c>
      <c r="AE109">
        <f>SUMIFS(StandardName[IDinTheRanking],StandardName[StandardizedName],Analiza_wRankingach[[#This Row],[Nazwa uczelni]],StandardName[Ranking],"=ARWU")</f>
        <v>0</v>
      </c>
      <c r="AF109">
        <f>SUMIFS(StandardName[IDinTheRanking],StandardName[StandardizedName],Analiza_wRankingach[[#This Row],[Nazwa uczelni]],StandardName[Ranking],"=QS")</f>
        <v>0</v>
      </c>
      <c r="AG109">
        <f>SUMIFS(StandardName[IDinTheRanking],StandardName[StandardizedName],Analiza_wRankingach[[#This Row],[Nazwa uczelni]],StandardName[Ranking],"=Webometrics")</f>
        <v>48</v>
      </c>
      <c r="AH109">
        <f>SUM(Analiza_wRankingach[[#This Row],[THE_ID]:[Webometrics_ID]])</f>
        <v>48</v>
      </c>
      <c r="AI109" t="str">
        <f>IF(Analiza_wRankingach[[#This Row],[LiczbaWystąpień]]&gt;=T110,"OK","UWAGA")</f>
        <v>OK</v>
      </c>
    </row>
    <row r="110" spans="1:35" x14ac:dyDescent="0.45">
      <c r="A110">
        <v>108</v>
      </c>
      <c r="B110" t="str">
        <f>Analiza_wRankingach[[#This Row],[Nazwa uczelni]]</f>
        <v>University of Maryland, College Park</v>
      </c>
      <c r="C110">
        <f>Analiza_wRankingach[[#This Row],[WartośćKontrolna]]</f>
        <v>800</v>
      </c>
      <c r="D110">
        <f>Analiza_wRankingach[[#This Row],[THE_RV]]</f>
        <v>0</v>
      </c>
      <c r="E110">
        <f>Analiza_wRankingach[[#This Row],[ARWU_RV]]</f>
        <v>50</v>
      </c>
      <c r="F110">
        <f>Analiza_wRankingach[[#This Row],[QS_RV]]</f>
        <v>0</v>
      </c>
      <c r="G110">
        <f>Analiza_wRankingach[[#This Row],[Webometrics_RV]]</f>
        <v>0</v>
      </c>
      <c r="I110" t="s">
        <v>127</v>
      </c>
      <c r="J110">
        <v>8</v>
      </c>
      <c r="K110" t="s">
        <v>796</v>
      </c>
      <c r="L110">
        <v>8</v>
      </c>
      <c r="M110" t="s">
        <v>849</v>
      </c>
      <c r="O110" t="s">
        <v>561</v>
      </c>
      <c r="P110">
        <f>IF(SUMIFS(StandardName[IDinTheRanking],StandardName[StandardizedName],Analiza_wRankingach[[#This Row],[Nazwa uczelni]],StandardName[Ranking],"=THE")&gt;0,1,0)</f>
        <v>0</v>
      </c>
      <c r="Q110">
        <f>IF(SUMIFS(StandardName[IDinTheRanking],StandardName[StandardizedName],Analiza_wRankingach[[#This Row],[Nazwa uczelni]],StandardName[Ranking],"=ARWU")&gt;0,1,0)</f>
        <v>1</v>
      </c>
      <c r="R110">
        <f>IF(SUMIFS(StandardName[IDinTheRanking],StandardName[StandardizedName],Analiza_wRankingach[[#This Row],[Nazwa uczelni]],StandardName[Ranking],"=QS")&gt;0,1,0)</f>
        <v>0</v>
      </c>
      <c r="S110">
        <f>IF(SUMIFS(StandardName[IDinTheRanking],StandardName[StandardizedName],Analiza_wRankingach[[#This Row],[Nazwa uczelni]],StandardName[Ranking],"=Webometrics")&gt;0,1,0)</f>
        <v>0</v>
      </c>
      <c r="T110">
        <f>SUM(Analiza_wRankingach[[#This Row],[THE]:[Webometrics]])</f>
        <v>1</v>
      </c>
      <c r="U110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250</v>
      </c>
      <c r="V110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50</v>
      </c>
      <c r="W110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250</v>
      </c>
      <c r="X110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250</v>
      </c>
      <c r="Y110">
        <f>SUM(Analiza_wRankingach[[#This Row],[THE_RV1000]:[Webometrics_RV1000]])</f>
        <v>800</v>
      </c>
      <c r="Z110">
        <f>SUMIFS(StandardName[RankValueInTheRanking],StandardName[StandardizedName],Analiza_wRankingach[[#This Row],[Nazwa uczelni]],StandardName[Ranking],"=THE")</f>
        <v>0</v>
      </c>
      <c r="AA110">
        <f>SUMIFS(StandardName[RankValueInTheRanking],StandardName[StandardizedName],Analiza_wRankingach[[#This Row],[Nazwa uczelni]],StandardName[Ranking],"=ARWU")</f>
        <v>50</v>
      </c>
      <c r="AB110">
        <f>SUMIFS(StandardName[RankValueInTheRanking],StandardName[StandardizedName],Analiza_wRankingach[[#This Row],[Nazwa uczelni]],StandardName[Ranking],"=QS")</f>
        <v>0</v>
      </c>
      <c r="AC110">
        <f>SUMIFS(StandardName[RankValueInTheRanking],StandardName[StandardizedName],Analiza_wRankingach[[#This Row],[Nazwa uczelni]],StandardName[Ranking],"=Webometrics")</f>
        <v>0</v>
      </c>
      <c r="AD110">
        <f>SUMIFS(StandardName[IDinTheRanking],StandardName[StandardizedName],Analiza_wRankingach[[#This Row],[Nazwa uczelni]],StandardName[Ranking],"=THE")</f>
        <v>0</v>
      </c>
      <c r="AE110">
        <f>SUMIFS(StandardName[IDinTheRanking],StandardName[StandardizedName],Analiza_wRankingach[[#This Row],[Nazwa uczelni]],StandardName[Ranking],"=ARWU")</f>
        <v>50</v>
      </c>
      <c r="AF110">
        <f>SUMIFS(StandardName[IDinTheRanking],StandardName[StandardizedName],Analiza_wRankingach[[#This Row],[Nazwa uczelni]],StandardName[Ranking],"=QS")</f>
        <v>0</v>
      </c>
      <c r="AG110">
        <f>SUMIFS(StandardName[IDinTheRanking],StandardName[StandardizedName],Analiza_wRankingach[[#This Row],[Nazwa uczelni]],StandardName[Ranking],"=Webometrics")</f>
        <v>0</v>
      </c>
      <c r="AH110">
        <f>SUM(Analiza_wRankingach[[#This Row],[THE_ID]:[Webometrics_ID]])</f>
        <v>50</v>
      </c>
      <c r="AI110" t="str">
        <f>IF(Analiza_wRankingach[[#This Row],[LiczbaWystąpień]]&gt;=T111,"OK","UWAGA")</f>
        <v>OK</v>
      </c>
    </row>
    <row r="111" spans="1:35" x14ac:dyDescent="0.45">
      <c r="A111">
        <v>109</v>
      </c>
      <c r="B111" t="str">
        <f>Analiza_wRankingach[[#This Row],[Nazwa uczelni]]</f>
        <v>Rutgers The State University of New Jersey</v>
      </c>
      <c r="C111">
        <f>Analiza_wRankingach[[#This Row],[WartośćKontrolna]]</f>
        <v>801</v>
      </c>
      <c r="D111">
        <f>Analiza_wRankingach[[#This Row],[THE_RV]]</f>
        <v>0</v>
      </c>
      <c r="E111">
        <f>Analiza_wRankingach[[#This Row],[ARWU_RV]]</f>
        <v>0</v>
      </c>
      <c r="F111">
        <f>Analiza_wRankingach[[#This Row],[QS_RV]]</f>
        <v>0</v>
      </c>
      <c r="G111">
        <f>Analiza_wRankingach[[#This Row],[Webometrics_RV]]</f>
        <v>51</v>
      </c>
      <c r="I111" t="s">
        <v>67</v>
      </c>
      <c r="J111">
        <v>9</v>
      </c>
      <c r="K111" t="s">
        <v>67</v>
      </c>
      <c r="L111">
        <v>9</v>
      </c>
      <c r="M111" t="s">
        <v>849</v>
      </c>
      <c r="O111" t="s">
        <v>815</v>
      </c>
      <c r="P111">
        <f>IF(SUMIFS(StandardName[IDinTheRanking],StandardName[StandardizedName],Analiza_wRankingach[[#This Row],[Nazwa uczelni]],StandardName[Ranking],"=THE")&gt;0,1,0)</f>
        <v>0</v>
      </c>
      <c r="Q111">
        <f>IF(SUMIFS(StandardName[IDinTheRanking],StandardName[StandardizedName],Analiza_wRankingach[[#This Row],[Nazwa uczelni]],StandardName[Ranking],"=ARWU")&gt;0,1,0)</f>
        <v>0</v>
      </c>
      <c r="R111">
        <f>IF(SUMIFS(StandardName[IDinTheRanking],StandardName[StandardizedName],Analiza_wRankingach[[#This Row],[Nazwa uczelni]],StandardName[Ranking],"=QS")&gt;0,1,0)</f>
        <v>0</v>
      </c>
      <c r="S111">
        <f>IF(SUMIFS(StandardName[IDinTheRanking],StandardName[StandardizedName],Analiza_wRankingach[[#This Row],[Nazwa uczelni]],StandardName[Ranking],"=Webometrics")&gt;0,1,0)</f>
        <v>1</v>
      </c>
      <c r="T111">
        <f>SUM(Analiza_wRankingach[[#This Row],[THE]:[Webometrics]])</f>
        <v>1</v>
      </c>
      <c r="U111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250</v>
      </c>
      <c r="V111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250</v>
      </c>
      <c r="W111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250</v>
      </c>
      <c r="X111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51</v>
      </c>
      <c r="Y111">
        <f>SUM(Analiza_wRankingach[[#This Row],[THE_RV1000]:[Webometrics_RV1000]])</f>
        <v>801</v>
      </c>
      <c r="Z111">
        <f>SUMIFS(StandardName[RankValueInTheRanking],StandardName[StandardizedName],Analiza_wRankingach[[#This Row],[Nazwa uczelni]],StandardName[Ranking],"=THE")</f>
        <v>0</v>
      </c>
      <c r="AA111">
        <f>SUMIFS(StandardName[RankValueInTheRanking],StandardName[StandardizedName],Analiza_wRankingach[[#This Row],[Nazwa uczelni]],StandardName[Ranking],"=ARWU")</f>
        <v>0</v>
      </c>
      <c r="AB111">
        <f>SUMIFS(StandardName[RankValueInTheRanking],StandardName[StandardizedName],Analiza_wRankingach[[#This Row],[Nazwa uczelni]],StandardName[Ranking],"=QS")</f>
        <v>0</v>
      </c>
      <c r="AC111">
        <f>SUMIFS(StandardName[RankValueInTheRanking],StandardName[StandardizedName],Analiza_wRankingach[[#This Row],[Nazwa uczelni]],StandardName[Ranking],"=Webometrics")</f>
        <v>51</v>
      </c>
      <c r="AD111">
        <f>SUMIFS(StandardName[IDinTheRanking],StandardName[StandardizedName],Analiza_wRankingach[[#This Row],[Nazwa uczelni]],StandardName[Ranking],"=THE")</f>
        <v>0</v>
      </c>
      <c r="AE111">
        <f>SUMIFS(StandardName[IDinTheRanking],StandardName[StandardizedName],Analiza_wRankingach[[#This Row],[Nazwa uczelni]],StandardName[Ranking],"=ARWU")</f>
        <v>0</v>
      </c>
      <c r="AF111">
        <f>SUMIFS(StandardName[IDinTheRanking],StandardName[StandardizedName],Analiza_wRankingach[[#This Row],[Nazwa uczelni]],StandardName[Ranking],"=QS")</f>
        <v>0</v>
      </c>
      <c r="AG111">
        <f>SUMIFS(StandardName[IDinTheRanking],StandardName[StandardizedName],Analiza_wRankingach[[#This Row],[Nazwa uczelni]],StandardName[Ranking],"=Webometrics")</f>
        <v>51</v>
      </c>
      <c r="AH111">
        <f>SUM(Analiza_wRankingach[[#This Row],[THE_ID]:[Webometrics_ID]])</f>
        <v>51</v>
      </c>
      <c r="AI111" t="str">
        <f>IF(Analiza_wRankingach[[#This Row],[LiczbaWystąpień]]&gt;=T112,"OK","UWAGA")</f>
        <v>OK</v>
      </c>
    </row>
    <row r="112" spans="1:35" x14ac:dyDescent="0.45">
      <c r="A112">
        <v>110</v>
      </c>
      <c r="B112" t="str">
        <f>Analiza_wRankingach[[#This Row],[Nazwa uczelni]]</f>
        <v>University of Colorado at Boulder</v>
      </c>
      <c r="C112">
        <f>Analiza_wRankingach[[#This Row],[WartośćKontrolna]]</f>
        <v>801</v>
      </c>
      <c r="D112">
        <f>Analiza_wRankingach[[#This Row],[THE_RV]]</f>
        <v>0</v>
      </c>
      <c r="E112">
        <f>Analiza_wRankingach[[#This Row],[ARWU_RV]]</f>
        <v>51</v>
      </c>
      <c r="F112">
        <f>Analiza_wRankingach[[#This Row],[QS_RV]]</f>
        <v>0</v>
      </c>
      <c r="G112">
        <f>Analiza_wRankingach[[#This Row],[Webometrics_RV]]</f>
        <v>0</v>
      </c>
      <c r="I112" t="s">
        <v>501</v>
      </c>
      <c r="J112">
        <v>10</v>
      </c>
      <c r="K112" t="s">
        <v>501</v>
      </c>
      <c r="L112">
        <v>10</v>
      </c>
      <c r="M112" t="s">
        <v>849</v>
      </c>
      <c r="O112" t="s">
        <v>563</v>
      </c>
      <c r="P112">
        <f>IF(SUMIFS(StandardName[IDinTheRanking],StandardName[StandardizedName],Analiza_wRankingach[[#This Row],[Nazwa uczelni]],StandardName[Ranking],"=THE")&gt;0,1,0)</f>
        <v>0</v>
      </c>
      <c r="Q112">
        <f>IF(SUMIFS(StandardName[IDinTheRanking],StandardName[StandardizedName],Analiza_wRankingach[[#This Row],[Nazwa uczelni]],StandardName[Ranking],"=ARWU")&gt;0,1,0)</f>
        <v>1</v>
      </c>
      <c r="R112">
        <f>IF(SUMIFS(StandardName[IDinTheRanking],StandardName[StandardizedName],Analiza_wRankingach[[#This Row],[Nazwa uczelni]],StandardName[Ranking],"=QS")&gt;0,1,0)</f>
        <v>0</v>
      </c>
      <c r="S112">
        <f>IF(SUMIFS(StandardName[IDinTheRanking],StandardName[StandardizedName],Analiza_wRankingach[[#This Row],[Nazwa uczelni]],StandardName[Ranking],"=Webometrics")&gt;0,1,0)</f>
        <v>0</v>
      </c>
      <c r="T112">
        <f>SUM(Analiza_wRankingach[[#This Row],[THE]:[Webometrics]])</f>
        <v>1</v>
      </c>
      <c r="U112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250</v>
      </c>
      <c r="V112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51</v>
      </c>
      <c r="W112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250</v>
      </c>
      <c r="X112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250</v>
      </c>
      <c r="Y112">
        <f>SUM(Analiza_wRankingach[[#This Row],[THE_RV1000]:[Webometrics_RV1000]])</f>
        <v>801</v>
      </c>
      <c r="Z112">
        <f>SUMIFS(StandardName[RankValueInTheRanking],StandardName[StandardizedName],Analiza_wRankingach[[#This Row],[Nazwa uczelni]],StandardName[Ranking],"=THE")</f>
        <v>0</v>
      </c>
      <c r="AA112">
        <f>SUMIFS(StandardName[RankValueInTheRanking],StandardName[StandardizedName],Analiza_wRankingach[[#This Row],[Nazwa uczelni]],StandardName[Ranking],"=ARWU")</f>
        <v>51</v>
      </c>
      <c r="AB112">
        <f>SUMIFS(StandardName[RankValueInTheRanking],StandardName[StandardizedName],Analiza_wRankingach[[#This Row],[Nazwa uczelni]],StandardName[Ranking],"=QS")</f>
        <v>0</v>
      </c>
      <c r="AC112">
        <f>SUMIFS(StandardName[RankValueInTheRanking],StandardName[StandardizedName],Analiza_wRankingach[[#This Row],[Nazwa uczelni]],StandardName[Ranking],"=Webometrics")</f>
        <v>0</v>
      </c>
      <c r="AD112">
        <f>SUMIFS(StandardName[IDinTheRanking],StandardName[StandardizedName],Analiza_wRankingach[[#This Row],[Nazwa uczelni]],StandardName[Ranking],"=THE")</f>
        <v>0</v>
      </c>
      <c r="AE112">
        <f>SUMIFS(StandardName[IDinTheRanking],StandardName[StandardizedName],Analiza_wRankingach[[#This Row],[Nazwa uczelni]],StandardName[Ranking],"=ARWU")</f>
        <v>51</v>
      </c>
      <c r="AF112">
        <f>SUMIFS(StandardName[IDinTheRanking],StandardName[StandardizedName],Analiza_wRankingach[[#This Row],[Nazwa uczelni]],StandardName[Ranking],"=QS")</f>
        <v>0</v>
      </c>
      <c r="AG112">
        <f>SUMIFS(StandardName[IDinTheRanking],StandardName[StandardizedName],Analiza_wRankingach[[#This Row],[Nazwa uczelni]],StandardName[Ranking],"=Webometrics")</f>
        <v>0</v>
      </c>
      <c r="AH112">
        <f>SUM(Analiza_wRankingach[[#This Row],[THE_ID]:[Webometrics_ID]])</f>
        <v>51</v>
      </c>
      <c r="AI112" t="str">
        <f>IF(Analiza_wRankingach[[#This Row],[LiczbaWystąpień]]&gt;=T113,"OK","UWAGA")</f>
        <v>OK</v>
      </c>
    </row>
    <row r="113" spans="1:35" x14ac:dyDescent="0.45">
      <c r="A113">
        <v>111</v>
      </c>
      <c r="B113" t="str">
        <f>Analiza_wRankingach[[#This Row],[Nazwa uczelni]]</f>
        <v>The University of Texas Southwestern Medical Center at Dallas</v>
      </c>
      <c r="C113">
        <f>Analiza_wRankingach[[#This Row],[WartośćKontrolna]]</f>
        <v>802</v>
      </c>
      <c r="D113">
        <f>Analiza_wRankingach[[#This Row],[THE_RV]]</f>
        <v>0</v>
      </c>
      <c r="E113">
        <f>Analiza_wRankingach[[#This Row],[ARWU_RV]]</f>
        <v>52</v>
      </c>
      <c r="F113">
        <f>Analiza_wRankingach[[#This Row],[QS_RV]]</f>
        <v>0</v>
      </c>
      <c r="G113">
        <f>Analiza_wRankingach[[#This Row],[Webometrics_RV]]</f>
        <v>0</v>
      </c>
      <c r="I113" t="s">
        <v>642</v>
      </c>
      <c r="J113">
        <v>11</v>
      </c>
      <c r="K113" t="s">
        <v>110</v>
      </c>
      <c r="L113">
        <v>11</v>
      </c>
      <c r="M113" t="s">
        <v>849</v>
      </c>
      <c r="O113" t="s">
        <v>565</v>
      </c>
      <c r="P113">
        <f>IF(SUMIFS(StandardName[IDinTheRanking],StandardName[StandardizedName],Analiza_wRankingach[[#This Row],[Nazwa uczelni]],StandardName[Ranking],"=THE")&gt;0,1,0)</f>
        <v>0</v>
      </c>
      <c r="Q113">
        <f>IF(SUMIFS(StandardName[IDinTheRanking],StandardName[StandardizedName],Analiza_wRankingach[[#This Row],[Nazwa uczelni]],StandardName[Ranking],"=ARWU")&gt;0,1,0)</f>
        <v>1</v>
      </c>
      <c r="R113">
        <f>IF(SUMIFS(StandardName[IDinTheRanking],StandardName[StandardizedName],Analiza_wRankingach[[#This Row],[Nazwa uczelni]],StandardName[Ranking],"=QS")&gt;0,1,0)</f>
        <v>0</v>
      </c>
      <c r="S113">
        <f>IF(SUMIFS(StandardName[IDinTheRanking],StandardName[StandardizedName],Analiza_wRankingach[[#This Row],[Nazwa uczelni]],StandardName[Ranking],"=Webometrics")&gt;0,1,0)</f>
        <v>0</v>
      </c>
      <c r="T113">
        <f>SUM(Analiza_wRankingach[[#This Row],[THE]:[Webometrics]])</f>
        <v>1</v>
      </c>
      <c r="U113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250</v>
      </c>
      <c r="V113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52</v>
      </c>
      <c r="W113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250</v>
      </c>
      <c r="X113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250</v>
      </c>
      <c r="Y113">
        <f>SUM(Analiza_wRankingach[[#This Row],[THE_RV1000]:[Webometrics_RV1000]])</f>
        <v>802</v>
      </c>
      <c r="Z113">
        <f>SUMIFS(StandardName[RankValueInTheRanking],StandardName[StandardizedName],Analiza_wRankingach[[#This Row],[Nazwa uczelni]],StandardName[Ranking],"=THE")</f>
        <v>0</v>
      </c>
      <c r="AA113">
        <f>SUMIFS(StandardName[RankValueInTheRanking],StandardName[StandardizedName],Analiza_wRankingach[[#This Row],[Nazwa uczelni]],StandardName[Ranking],"=ARWU")</f>
        <v>52</v>
      </c>
      <c r="AB113">
        <f>SUMIFS(StandardName[RankValueInTheRanking],StandardName[StandardizedName],Analiza_wRankingach[[#This Row],[Nazwa uczelni]],StandardName[Ranking],"=QS")</f>
        <v>0</v>
      </c>
      <c r="AC113">
        <f>SUMIFS(StandardName[RankValueInTheRanking],StandardName[StandardizedName],Analiza_wRankingach[[#This Row],[Nazwa uczelni]],StandardName[Ranking],"=Webometrics")</f>
        <v>0</v>
      </c>
      <c r="AD113">
        <f>SUMIFS(StandardName[IDinTheRanking],StandardName[StandardizedName],Analiza_wRankingach[[#This Row],[Nazwa uczelni]],StandardName[Ranking],"=THE")</f>
        <v>0</v>
      </c>
      <c r="AE113">
        <f>SUMIFS(StandardName[IDinTheRanking],StandardName[StandardizedName],Analiza_wRankingach[[#This Row],[Nazwa uczelni]],StandardName[Ranking],"=ARWU")</f>
        <v>52</v>
      </c>
      <c r="AF113">
        <f>SUMIFS(StandardName[IDinTheRanking],StandardName[StandardizedName],Analiza_wRankingach[[#This Row],[Nazwa uczelni]],StandardName[Ranking],"=QS")</f>
        <v>0</v>
      </c>
      <c r="AG113">
        <f>SUMIFS(StandardName[IDinTheRanking],StandardName[StandardizedName],Analiza_wRankingach[[#This Row],[Nazwa uczelni]],StandardName[Ranking],"=Webometrics")</f>
        <v>0</v>
      </c>
      <c r="AH113">
        <f>SUM(Analiza_wRankingach[[#This Row],[THE_ID]:[Webometrics_ID]])</f>
        <v>52</v>
      </c>
      <c r="AI113" t="str">
        <f>IF(Analiza_wRankingach[[#This Row],[LiczbaWystąpień]]&gt;=T114,"OK","UWAGA")</f>
        <v>OK</v>
      </c>
    </row>
    <row r="114" spans="1:35" x14ac:dyDescent="0.45">
      <c r="A114">
        <v>112</v>
      </c>
      <c r="B114" t="str">
        <f>Analiza_wRankingach[[#This Row],[Nazwa uczelni]]</f>
        <v>Texas A&amp;M University</v>
      </c>
      <c r="C114">
        <f>Analiza_wRankingach[[#This Row],[WartośćKontrolna]]</f>
        <v>803</v>
      </c>
      <c r="D114">
        <f>Analiza_wRankingach[[#This Row],[THE_RV]]</f>
        <v>0</v>
      </c>
      <c r="E114">
        <f>Analiza_wRankingach[[#This Row],[ARWU_RV]]</f>
        <v>0</v>
      </c>
      <c r="F114">
        <f>Analiza_wRankingach[[#This Row],[QS_RV]]</f>
        <v>0</v>
      </c>
      <c r="G114">
        <f>Analiza_wRankingach[[#This Row],[Webometrics_RV]]</f>
        <v>53</v>
      </c>
      <c r="I114" t="s">
        <v>97</v>
      </c>
      <c r="J114">
        <v>12</v>
      </c>
      <c r="K114" t="s">
        <v>97</v>
      </c>
      <c r="L114">
        <v>12</v>
      </c>
      <c r="M114" t="s">
        <v>849</v>
      </c>
      <c r="O114" t="s">
        <v>817</v>
      </c>
      <c r="P114">
        <f>IF(SUMIFS(StandardName[IDinTheRanking],StandardName[StandardizedName],Analiza_wRankingach[[#This Row],[Nazwa uczelni]],StandardName[Ranking],"=THE")&gt;0,1,0)</f>
        <v>0</v>
      </c>
      <c r="Q114">
        <f>IF(SUMIFS(StandardName[IDinTheRanking],StandardName[StandardizedName],Analiza_wRankingach[[#This Row],[Nazwa uczelni]],StandardName[Ranking],"=ARWU")&gt;0,1,0)</f>
        <v>0</v>
      </c>
      <c r="R114">
        <f>IF(SUMIFS(StandardName[IDinTheRanking],StandardName[StandardizedName],Analiza_wRankingach[[#This Row],[Nazwa uczelni]],StandardName[Ranking],"=QS")&gt;0,1,0)</f>
        <v>0</v>
      </c>
      <c r="S114">
        <f>IF(SUMIFS(StandardName[IDinTheRanking],StandardName[StandardizedName],Analiza_wRankingach[[#This Row],[Nazwa uczelni]],StandardName[Ranking],"=Webometrics")&gt;0,1,0)</f>
        <v>1</v>
      </c>
      <c r="T114">
        <f>SUM(Analiza_wRankingach[[#This Row],[THE]:[Webometrics]])</f>
        <v>1</v>
      </c>
      <c r="U114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250</v>
      </c>
      <c r="V114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250</v>
      </c>
      <c r="W114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250</v>
      </c>
      <c r="X114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53</v>
      </c>
      <c r="Y114">
        <f>SUM(Analiza_wRankingach[[#This Row],[THE_RV1000]:[Webometrics_RV1000]])</f>
        <v>803</v>
      </c>
      <c r="Z114">
        <f>SUMIFS(StandardName[RankValueInTheRanking],StandardName[StandardizedName],Analiza_wRankingach[[#This Row],[Nazwa uczelni]],StandardName[Ranking],"=THE")</f>
        <v>0</v>
      </c>
      <c r="AA114">
        <f>SUMIFS(StandardName[RankValueInTheRanking],StandardName[StandardizedName],Analiza_wRankingach[[#This Row],[Nazwa uczelni]],StandardName[Ranking],"=ARWU")</f>
        <v>0</v>
      </c>
      <c r="AB114">
        <f>SUMIFS(StandardName[RankValueInTheRanking],StandardName[StandardizedName],Analiza_wRankingach[[#This Row],[Nazwa uczelni]],StandardName[Ranking],"=QS")</f>
        <v>0</v>
      </c>
      <c r="AC114">
        <f>SUMIFS(StandardName[RankValueInTheRanking],StandardName[StandardizedName],Analiza_wRankingach[[#This Row],[Nazwa uczelni]],StandardName[Ranking],"=Webometrics")</f>
        <v>53</v>
      </c>
      <c r="AD114">
        <f>SUMIFS(StandardName[IDinTheRanking],StandardName[StandardizedName],Analiza_wRankingach[[#This Row],[Nazwa uczelni]],StandardName[Ranking],"=THE")</f>
        <v>0</v>
      </c>
      <c r="AE114">
        <f>SUMIFS(StandardName[IDinTheRanking],StandardName[StandardizedName],Analiza_wRankingach[[#This Row],[Nazwa uczelni]],StandardName[Ranking],"=ARWU")</f>
        <v>0</v>
      </c>
      <c r="AF114">
        <f>SUMIFS(StandardName[IDinTheRanking],StandardName[StandardizedName],Analiza_wRankingach[[#This Row],[Nazwa uczelni]],StandardName[Ranking],"=QS")</f>
        <v>0</v>
      </c>
      <c r="AG114">
        <f>SUMIFS(StandardName[IDinTheRanking],StandardName[StandardizedName],Analiza_wRankingach[[#This Row],[Nazwa uczelni]],StandardName[Ranking],"=Webometrics")</f>
        <v>53</v>
      </c>
      <c r="AH114">
        <f>SUM(Analiza_wRankingach[[#This Row],[THE_ID]:[Webometrics_ID]])</f>
        <v>53</v>
      </c>
      <c r="AI114" t="str">
        <f>IF(Analiza_wRankingach[[#This Row],[LiczbaWystąpień]]&gt;=T115,"OK","UWAGA")</f>
        <v>OK</v>
      </c>
    </row>
    <row r="115" spans="1:35" x14ac:dyDescent="0.45">
      <c r="A115">
        <v>113</v>
      </c>
      <c r="B115" t="str">
        <f>Analiza_wRankingach[[#This Row],[Nazwa uczelni]]</f>
        <v>University of Arizona</v>
      </c>
      <c r="C115">
        <f>Analiza_wRankingach[[#This Row],[WartośćKontrolna]]</f>
        <v>804</v>
      </c>
      <c r="D115">
        <f>Analiza_wRankingach[[#This Row],[THE_RV]]</f>
        <v>0</v>
      </c>
      <c r="E115">
        <f>Analiza_wRankingach[[#This Row],[ARWU_RV]]</f>
        <v>0</v>
      </c>
      <c r="F115">
        <f>Analiza_wRankingach[[#This Row],[QS_RV]]</f>
        <v>0</v>
      </c>
      <c r="G115">
        <f>Analiza_wRankingach[[#This Row],[Webometrics_RV]]</f>
        <v>54</v>
      </c>
      <c r="I115" t="s">
        <v>79</v>
      </c>
      <c r="J115">
        <v>13</v>
      </c>
      <c r="K115" t="s">
        <v>79</v>
      </c>
      <c r="L115">
        <v>13</v>
      </c>
      <c r="M115" t="s">
        <v>849</v>
      </c>
      <c r="O115" t="s">
        <v>818</v>
      </c>
      <c r="P115">
        <f>IF(SUMIFS(StandardName[IDinTheRanking],StandardName[StandardizedName],Analiza_wRankingach[[#This Row],[Nazwa uczelni]],StandardName[Ranking],"=THE")&gt;0,1,0)</f>
        <v>0</v>
      </c>
      <c r="Q115">
        <f>IF(SUMIFS(StandardName[IDinTheRanking],StandardName[StandardizedName],Analiza_wRankingach[[#This Row],[Nazwa uczelni]],StandardName[Ranking],"=ARWU")&gt;0,1,0)</f>
        <v>0</v>
      </c>
      <c r="R115">
        <f>IF(SUMIFS(StandardName[IDinTheRanking],StandardName[StandardizedName],Analiza_wRankingach[[#This Row],[Nazwa uczelni]],StandardName[Ranking],"=QS")&gt;0,1,0)</f>
        <v>0</v>
      </c>
      <c r="S115">
        <f>IF(SUMIFS(StandardName[IDinTheRanking],StandardName[StandardizedName],Analiza_wRankingach[[#This Row],[Nazwa uczelni]],StandardName[Ranking],"=Webometrics")&gt;0,1,0)</f>
        <v>1</v>
      </c>
      <c r="T115">
        <f>SUM(Analiza_wRankingach[[#This Row],[THE]:[Webometrics]])</f>
        <v>1</v>
      </c>
      <c r="U115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250</v>
      </c>
      <c r="V115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250</v>
      </c>
      <c r="W115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250</v>
      </c>
      <c r="X115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54</v>
      </c>
      <c r="Y115">
        <f>SUM(Analiza_wRankingach[[#This Row],[THE_RV1000]:[Webometrics_RV1000]])</f>
        <v>804</v>
      </c>
      <c r="Z115">
        <f>SUMIFS(StandardName[RankValueInTheRanking],StandardName[StandardizedName],Analiza_wRankingach[[#This Row],[Nazwa uczelni]],StandardName[Ranking],"=THE")</f>
        <v>0</v>
      </c>
      <c r="AA115">
        <f>SUMIFS(StandardName[RankValueInTheRanking],StandardName[StandardizedName],Analiza_wRankingach[[#This Row],[Nazwa uczelni]],StandardName[Ranking],"=ARWU")</f>
        <v>0</v>
      </c>
      <c r="AB115">
        <f>SUMIFS(StandardName[RankValueInTheRanking],StandardName[StandardizedName],Analiza_wRankingach[[#This Row],[Nazwa uczelni]],StandardName[Ranking],"=QS")</f>
        <v>0</v>
      </c>
      <c r="AC115">
        <f>SUMIFS(StandardName[RankValueInTheRanking],StandardName[StandardizedName],Analiza_wRankingach[[#This Row],[Nazwa uczelni]],StandardName[Ranking],"=Webometrics")</f>
        <v>54</v>
      </c>
      <c r="AD115">
        <f>SUMIFS(StandardName[IDinTheRanking],StandardName[StandardizedName],Analiza_wRankingach[[#This Row],[Nazwa uczelni]],StandardName[Ranking],"=THE")</f>
        <v>0</v>
      </c>
      <c r="AE115">
        <f>SUMIFS(StandardName[IDinTheRanking],StandardName[StandardizedName],Analiza_wRankingach[[#This Row],[Nazwa uczelni]],StandardName[Ranking],"=ARWU")</f>
        <v>0</v>
      </c>
      <c r="AF115">
        <f>SUMIFS(StandardName[IDinTheRanking],StandardName[StandardizedName],Analiza_wRankingach[[#This Row],[Nazwa uczelni]],StandardName[Ranking],"=QS")</f>
        <v>0</v>
      </c>
      <c r="AG115">
        <f>SUMIFS(StandardName[IDinTheRanking],StandardName[StandardizedName],Analiza_wRankingach[[#This Row],[Nazwa uczelni]],StandardName[Ranking],"=Webometrics")</f>
        <v>54</v>
      </c>
      <c r="AH115">
        <f>SUM(Analiza_wRankingach[[#This Row],[THE_ID]:[Webometrics_ID]])</f>
        <v>54</v>
      </c>
      <c r="AI115" t="str">
        <f>IF(Analiza_wRankingach[[#This Row],[LiczbaWystąpień]]&gt;=T116,"OK","UWAGA")</f>
        <v>OK</v>
      </c>
    </row>
    <row r="116" spans="1:35" x14ac:dyDescent="0.45">
      <c r="A116">
        <v>114</v>
      </c>
      <c r="B116" t="str">
        <f>Analiza_wRankingach[[#This Row],[Nazwa uczelni]]</f>
        <v>Arizona State University</v>
      </c>
      <c r="C116">
        <f>Analiza_wRankingach[[#This Row],[WartośćKontrolna]]</f>
        <v>805</v>
      </c>
      <c r="D116">
        <f>Analiza_wRankingach[[#This Row],[THE_RV]]</f>
        <v>0</v>
      </c>
      <c r="E116">
        <f>Analiza_wRankingach[[#This Row],[ARWU_RV]]</f>
        <v>0</v>
      </c>
      <c r="F116">
        <f>Analiza_wRankingach[[#This Row],[QS_RV]]</f>
        <v>0</v>
      </c>
      <c r="G116">
        <f>Analiza_wRankingach[[#This Row],[Webometrics_RV]]</f>
        <v>55</v>
      </c>
      <c r="I116" t="s">
        <v>89</v>
      </c>
      <c r="J116">
        <v>14</v>
      </c>
      <c r="K116" t="s">
        <v>89</v>
      </c>
      <c r="L116">
        <v>14</v>
      </c>
      <c r="M116" t="s">
        <v>849</v>
      </c>
      <c r="O116" t="s">
        <v>625</v>
      </c>
      <c r="P116">
        <f>IF(SUMIFS(StandardName[IDinTheRanking],StandardName[StandardizedName],Analiza_wRankingach[[#This Row],[Nazwa uczelni]],StandardName[Ranking],"=THE")&gt;0,1,0)</f>
        <v>0</v>
      </c>
      <c r="Q116">
        <f>IF(SUMIFS(StandardName[IDinTheRanking],StandardName[StandardizedName],Analiza_wRankingach[[#This Row],[Nazwa uczelni]],StandardName[Ranking],"=ARWU")&gt;0,1,0)</f>
        <v>0</v>
      </c>
      <c r="R116">
        <f>IF(SUMIFS(StandardName[IDinTheRanking],StandardName[StandardizedName],Analiza_wRankingach[[#This Row],[Nazwa uczelni]],StandardName[Ranking],"=QS")&gt;0,1,0)</f>
        <v>0</v>
      </c>
      <c r="S116">
        <f>IF(SUMIFS(StandardName[IDinTheRanking],StandardName[StandardizedName],Analiza_wRankingach[[#This Row],[Nazwa uczelni]],StandardName[Ranking],"=Webometrics")&gt;0,1,0)</f>
        <v>1</v>
      </c>
      <c r="T116">
        <f>SUM(Analiza_wRankingach[[#This Row],[THE]:[Webometrics]])</f>
        <v>1</v>
      </c>
      <c r="U116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250</v>
      </c>
      <c r="V116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250</v>
      </c>
      <c r="W116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250</v>
      </c>
      <c r="X116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55</v>
      </c>
      <c r="Y116">
        <f>SUM(Analiza_wRankingach[[#This Row],[THE_RV1000]:[Webometrics_RV1000]])</f>
        <v>805</v>
      </c>
      <c r="Z116">
        <f>SUMIFS(StandardName[RankValueInTheRanking],StandardName[StandardizedName],Analiza_wRankingach[[#This Row],[Nazwa uczelni]],StandardName[Ranking],"=THE")</f>
        <v>0</v>
      </c>
      <c r="AA116">
        <f>SUMIFS(StandardName[RankValueInTheRanking],StandardName[StandardizedName],Analiza_wRankingach[[#This Row],[Nazwa uczelni]],StandardName[Ranking],"=ARWU")</f>
        <v>0</v>
      </c>
      <c r="AB116">
        <f>SUMIFS(StandardName[RankValueInTheRanking],StandardName[StandardizedName],Analiza_wRankingach[[#This Row],[Nazwa uczelni]],StandardName[Ranking],"=QS")</f>
        <v>0</v>
      </c>
      <c r="AC116">
        <f>SUMIFS(StandardName[RankValueInTheRanking],StandardName[StandardizedName],Analiza_wRankingach[[#This Row],[Nazwa uczelni]],StandardName[Ranking],"=Webometrics")</f>
        <v>55</v>
      </c>
      <c r="AD116">
        <f>SUMIFS(StandardName[IDinTheRanking],StandardName[StandardizedName],Analiza_wRankingach[[#This Row],[Nazwa uczelni]],StandardName[Ranking],"=THE")</f>
        <v>0</v>
      </c>
      <c r="AE116">
        <f>SUMIFS(StandardName[IDinTheRanking],StandardName[StandardizedName],Analiza_wRankingach[[#This Row],[Nazwa uczelni]],StandardName[Ranking],"=ARWU")</f>
        <v>0</v>
      </c>
      <c r="AF116">
        <f>SUMIFS(StandardName[IDinTheRanking],StandardName[StandardizedName],Analiza_wRankingach[[#This Row],[Nazwa uczelni]],StandardName[Ranking],"=QS")</f>
        <v>0</v>
      </c>
      <c r="AG116">
        <f>SUMIFS(StandardName[IDinTheRanking],StandardName[StandardizedName],Analiza_wRankingach[[#This Row],[Nazwa uczelni]],StandardName[Ranking],"=Webometrics")</f>
        <v>55</v>
      </c>
      <c r="AH116">
        <f>SUM(Analiza_wRankingach[[#This Row],[THE_ID]:[Webometrics_ID]])</f>
        <v>55</v>
      </c>
      <c r="AI116" t="str">
        <f>IF(Analiza_wRankingach[[#This Row],[LiczbaWystąpień]]&gt;=T117,"OK","UWAGA")</f>
        <v>OK</v>
      </c>
    </row>
    <row r="117" spans="1:35" x14ac:dyDescent="0.45">
      <c r="A117">
        <v>115</v>
      </c>
      <c r="B117" t="str">
        <f>Analiza_wRankingach[[#This Row],[Nazwa uczelni]]</f>
        <v>Tokyo Institute of Technology (Tokyo Tech)</v>
      </c>
      <c r="C117">
        <f>Analiza_wRankingach[[#This Row],[WartośćKontrolna]]</f>
        <v>805</v>
      </c>
      <c r="D117">
        <f>Analiza_wRankingach[[#This Row],[THE_RV]]</f>
        <v>0</v>
      </c>
      <c r="E117">
        <f>Analiza_wRankingach[[#This Row],[ARWU_RV]]</f>
        <v>0</v>
      </c>
      <c r="F117">
        <f>Analiza_wRankingach[[#This Row],[QS_RV]]</f>
        <v>55</v>
      </c>
      <c r="G117">
        <f>Analiza_wRankingach[[#This Row],[Webometrics_RV]]</f>
        <v>0</v>
      </c>
      <c r="I117" t="s">
        <v>537</v>
      </c>
      <c r="J117">
        <v>15</v>
      </c>
      <c r="K117" t="s">
        <v>169</v>
      </c>
      <c r="L117">
        <v>15</v>
      </c>
      <c r="M117" t="s">
        <v>849</v>
      </c>
      <c r="O117" t="s">
        <v>705</v>
      </c>
      <c r="P117">
        <f>IF(SUMIFS(StandardName[IDinTheRanking],StandardName[StandardizedName],Analiza_wRankingach[[#This Row],[Nazwa uczelni]],StandardName[Ranking],"=THE")&gt;0,1,0)</f>
        <v>0</v>
      </c>
      <c r="Q117">
        <f>IF(SUMIFS(StandardName[IDinTheRanking],StandardName[StandardizedName],Analiza_wRankingach[[#This Row],[Nazwa uczelni]],StandardName[Ranking],"=ARWU")&gt;0,1,0)</f>
        <v>0</v>
      </c>
      <c r="R117">
        <f>IF(SUMIFS(StandardName[IDinTheRanking],StandardName[StandardizedName],Analiza_wRankingach[[#This Row],[Nazwa uczelni]],StandardName[Ranking],"=QS")&gt;0,1,0)</f>
        <v>1</v>
      </c>
      <c r="S117">
        <f>IF(SUMIFS(StandardName[IDinTheRanking],StandardName[StandardizedName],Analiza_wRankingach[[#This Row],[Nazwa uczelni]],StandardName[Ranking],"=Webometrics")&gt;0,1,0)</f>
        <v>0</v>
      </c>
      <c r="T117">
        <f>SUM(Analiza_wRankingach[[#This Row],[THE]:[Webometrics]])</f>
        <v>1</v>
      </c>
      <c r="U117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250</v>
      </c>
      <c r="V117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250</v>
      </c>
      <c r="W117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55</v>
      </c>
      <c r="X117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250</v>
      </c>
      <c r="Y117">
        <f>SUM(Analiza_wRankingach[[#This Row],[THE_RV1000]:[Webometrics_RV1000]])</f>
        <v>805</v>
      </c>
      <c r="Z117">
        <f>SUMIFS(StandardName[RankValueInTheRanking],StandardName[StandardizedName],Analiza_wRankingach[[#This Row],[Nazwa uczelni]],StandardName[Ranking],"=THE")</f>
        <v>0</v>
      </c>
      <c r="AA117">
        <f>SUMIFS(StandardName[RankValueInTheRanking],StandardName[StandardizedName],Analiza_wRankingach[[#This Row],[Nazwa uczelni]],StandardName[Ranking],"=ARWU")</f>
        <v>0</v>
      </c>
      <c r="AB117">
        <f>SUMIFS(StandardName[RankValueInTheRanking],StandardName[StandardizedName],Analiza_wRankingach[[#This Row],[Nazwa uczelni]],StandardName[Ranking],"=QS")</f>
        <v>55</v>
      </c>
      <c r="AC117">
        <f>SUMIFS(StandardName[RankValueInTheRanking],StandardName[StandardizedName],Analiza_wRankingach[[#This Row],[Nazwa uczelni]],StandardName[Ranking],"=Webometrics")</f>
        <v>0</v>
      </c>
      <c r="AD117">
        <f>SUMIFS(StandardName[IDinTheRanking],StandardName[StandardizedName],Analiza_wRankingach[[#This Row],[Nazwa uczelni]],StandardName[Ranking],"=THE")</f>
        <v>0</v>
      </c>
      <c r="AE117">
        <f>SUMIFS(StandardName[IDinTheRanking],StandardName[StandardizedName],Analiza_wRankingach[[#This Row],[Nazwa uczelni]],StandardName[Ranking],"=ARWU")</f>
        <v>0</v>
      </c>
      <c r="AF117">
        <f>SUMIFS(StandardName[IDinTheRanking],StandardName[StandardizedName],Analiza_wRankingach[[#This Row],[Nazwa uczelni]],StandardName[Ranking],"=QS")</f>
        <v>55</v>
      </c>
      <c r="AG117">
        <f>SUMIFS(StandardName[IDinTheRanking],StandardName[StandardizedName],Analiza_wRankingach[[#This Row],[Nazwa uczelni]],StandardName[Ranking],"=Webometrics")</f>
        <v>0</v>
      </c>
      <c r="AH117">
        <f>SUM(Analiza_wRankingach[[#This Row],[THE_ID]:[Webometrics_ID]])</f>
        <v>55</v>
      </c>
      <c r="AI117" t="str">
        <f>IF(Analiza_wRankingach[[#This Row],[LiczbaWystąpień]]&gt;=T118,"OK","UWAGA")</f>
        <v>OK</v>
      </c>
    </row>
    <row r="118" spans="1:35" x14ac:dyDescent="0.45">
      <c r="A118">
        <v>116</v>
      </c>
      <c r="B118" t="str">
        <f>Analiza_wRankingach[[#This Row],[Nazwa uczelni]]</f>
        <v>University of Munich</v>
      </c>
      <c r="C118">
        <f>Analiza_wRankingach[[#This Row],[WartośćKontrolna]]</f>
        <v>807</v>
      </c>
      <c r="D118">
        <f>Analiza_wRankingach[[#This Row],[THE_RV]]</f>
        <v>0</v>
      </c>
      <c r="E118">
        <f>Analiza_wRankingach[[#This Row],[ARWU_RV]]</f>
        <v>57</v>
      </c>
      <c r="F118">
        <f>Analiza_wRankingach[[#This Row],[QS_RV]]</f>
        <v>0</v>
      </c>
      <c r="G118">
        <f>Analiza_wRankingach[[#This Row],[Webometrics_RV]]</f>
        <v>0</v>
      </c>
      <c r="I118" t="s">
        <v>647</v>
      </c>
      <c r="J118">
        <v>16</v>
      </c>
      <c r="K118" t="s">
        <v>230</v>
      </c>
      <c r="L118">
        <v>16</v>
      </c>
      <c r="M118" t="s">
        <v>849</v>
      </c>
      <c r="O118" t="s">
        <v>570</v>
      </c>
      <c r="P118">
        <f>IF(SUMIFS(StandardName[IDinTheRanking],StandardName[StandardizedName],Analiza_wRankingach[[#This Row],[Nazwa uczelni]],StandardName[Ranking],"=THE")&gt;0,1,0)</f>
        <v>0</v>
      </c>
      <c r="Q118">
        <f>IF(SUMIFS(StandardName[IDinTheRanking],StandardName[StandardizedName],Analiza_wRankingach[[#This Row],[Nazwa uczelni]],StandardName[Ranking],"=ARWU")&gt;0,1,0)</f>
        <v>1</v>
      </c>
      <c r="R118">
        <f>IF(SUMIFS(StandardName[IDinTheRanking],StandardName[StandardizedName],Analiza_wRankingach[[#This Row],[Nazwa uczelni]],StandardName[Ranking],"=QS")&gt;0,1,0)</f>
        <v>0</v>
      </c>
      <c r="S118">
        <f>IF(SUMIFS(StandardName[IDinTheRanking],StandardName[StandardizedName],Analiza_wRankingach[[#This Row],[Nazwa uczelni]],StandardName[Ranking],"=Webometrics")&gt;0,1,0)</f>
        <v>0</v>
      </c>
      <c r="T118">
        <f>SUM(Analiza_wRankingach[[#This Row],[THE]:[Webometrics]])</f>
        <v>1</v>
      </c>
      <c r="U118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250</v>
      </c>
      <c r="V118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57</v>
      </c>
      <c r="W118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250</v>
      </c>
      <c r="X118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250</v>
      </c>
      <c r="Y118">
        <f>SUM(Analiza_wRankingach[[#This Row],[THE_RV1000]:[Webometrics_RV1000]])</f>
        <v>807</v>
      </c>
      <c r="Z118">
        <f>SUMIFS(StandardName[RankValueInTheRanking],StandardName[StandardizedName],Analiza_wRankingach[[#This Row],[Nazwa uczelni]],StandardName[Ranking],"=THE")</f>
        <v>0</v>
      </c>
      <c r="AA118">
        <f>SUMIFS(StandardName[RankValueInTheRanking],StandardName[StandardizedName],Analiza_wRankingach[[#This Row],[Nazwa uczelni]],StandardName[Ranking],"=ARWU")</f>
        <v>57</v>
      </c>
      <c r="AB118">
        <f>SUMIFS(StandardName[RankValueInTheRanking],StandardName[StandardizedName],Analiza_wRankingach[[#This Row],[Nazwa uczelni]],StandardName[Ranking],"=QS")</f>
        <v>0</v>
      </c>
      <c r="AC118">
        <f>SUMIFS(StandardName[RankValueInTheRanking],StandardName[StandardizedName],Analiza_wRankingach[[#This Row],[Nazwa uczelni]],StandardName[Ranking],"=Webometrics")</f>
        <v>0</v>
      </c>
      <c r="AD118">
        <f>SUMIFS(StandardName[IDinTheRanking],StandardName[StandardizedName],Analiza_wRankingach[[#This Row],[Nazwa uczelni]],StandardName[Ranking],"=THE")</f>
        <v>0</v>
      </c>
      <c r="AE118">
        <f>SUMIFS(StandardName[IDinTheRanking],StandardName[StandardizedName],Analiza_wRankingach[[#This Row],[Nazwa uczelni]],StandardName[Ranking],"=ARWU")</f>
        <v>58</v>
      </c>
      <c r="AF118">
        <f>SUMIFS(StandardName[IDinTheRanking],StandardName[StandardizedName],Analiza_wRankingach[[#This Row],[Nazwa uczelni]],StandardName[Ranking],"=QS")</f>
        <v>0</v>
      </c>
      <c r="AG118">
        <f>SUMIFS(StandardName[IDinTheRanking],StandardName[StandardizedName],Analiza_wRankingach[[#This Row],[Nazwa uczelni]],StandardName[Ranking],"=Webometrics")</f>
        <v>0</v>
      </c>
      <c r="AH118">
        <f>SUM(Analiza_wRankingach[[#This Row],[THE_ID]:[Webometrics_ID]])</f>
        <v>58</v>
      </c>
      <c r="AI118" t="str">
        <f>IF(Analiza_wRankingach[[#This Row],[LiczbaWystąpień]]&gt;=T119,"OK","UWAGA")</f>
        <v>OK</v>
      </c>
    </row>
    <row r="119" spans="1:35" x14ac:dyDescent="0.45">
      <c r="A119">
        <v>117</v>
      </c>
      <c r="B119" t="str">
        <f>Analiza_wRankingach[[#This Row],[Nazwa uczelni]]</f>
        <v>Wageningen University &amp; Research</v>
      </c>
      <c r="C119">
        <f>Analiza_wRankingach[[#This Row],[WartośćKontrolna]]</f>
        <v>809</v>
      </c>
      <c r="D119">
        <f>Analiza_wRankingach[[#This Row],[THE_RV]]</f>
        <v>59</v>
      </c>
      <c r="E119">
        <f>Analiza_wRankingach[[#This Row],[ARWU_RV]]</f>
        <v>0</v>
      </c>
      <c r="F119">
        <f>Analiza_wRankingach[[#This Row],[QS_RV]]</f>
        <v>0</v>
      </c>
      <c r="G119">
        <f>Analiza_wRankingach[[#This Row],[Webometrics_RV]]</f>
        <v>0</v>
      </c>
      <c r="I119" t="s">
        <v>36</v>
      </c>
      <c r="J119">
        <v>17</v>
      </c>
      <c r="K119" t="s">
        <v>36</v>
      </c>
      <c r="L119">
        <v>16</v>
      </c>
      <c r="M119" t="s">
        <v>849</v>
      </c>
      <c r="O119" t="s">
        <v>322</v>
      </c>
      <c r="P119">
        <f>IF(SUMIFS(StandardName[IDinTheRanking],StandardName[StandardizedName],Analiza_wRankingach[[#This Row],[Nazwa uczelni]],StandardName[Ranking],"=THE")&gt;0,1,0)</f>
        <v>1</v>
      </c>
      <c r="Q119">
        <f>IF(SUMIFS(StandardName[IDinTheRanking],StandardName[StandardizedName],Analiza_wRankingach[[#This Row],[Nazwa uczelni]],StandardName[Ranking],"=ARWU")&gt;0,1,0)</f>
        <v>0</v>
      </c>
      <c r="R119">
        <f>IF(SUMIFS(StandardName[IDinTheRanking],StandardName[StandardizedName],Analiza_wRankingach[[#This Row],[Nazwa uczelni]],StandardName[Ranking],"=QS")&gt;0,1,0)</f>
        <v>0</v>
      </c>
      <c r="S119">
        <f>IF(SUMIFS(StandardName[IDinTheRanking],StandardName[StandardizedName],Analiza_wRankingach[[#This Row],[Nazwa uczelni]],StandardName[Ranking],"=Webometrics")&gt;0,1,0)</f>
        <v>0</v>
      </c>
      <c r="T119">
        <f>SUM(Analiza_wRankingach[[#This Row],[THE]:[Webometrics]])</f>
        <v>1</v>
      </c>
      <c r="U119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59</v>
      </c>
      <c r="V119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250</v>
      </c>
      <c r="W119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250</v>
      </c>
      <c r="X119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250</v>
      </c>
      <c r="Y119">
        <f>SUM(Analiza_wRankingach[[#This Row],[THE_RV1000]:[Webometrics_RV1000]])</f>
        <v>809</v>
      </c>
      <c r="Z119">
        <f>SUMIFS(StandardName[RankValueInTheRanking],StandardName[StandardizedName],Analiza_wRankingach[[#This Row],[Nazwa uczelni]],StandardName[Ranking],"=THE")</f>
        <v>59</v>
      </c>
      <c r="AA119">
        <f>SUMIFS(StandardName[RankValueInTheRanking],StandardName[StandardizedName],Analiza_wRankingach[[#This Row],[Nazwa uczelni]],StandardName[Ranking],"=ARWU")</f>
        <v>0</v>
      </c>
      <c r="AB119">
        <f>SUMIFS(StandardName[RankValueInTheRanking],StandardName[StandardizedName],Analiza_wRankingach[[#This Row],[Nazwa uczelni]],StandardName[Ranking],"=QS")</f>
        <v>0</v>
      </c>
      <c r="AC119">
        <f>SUMIFS(StandardName[RankValueInTheRanking],StandardName[StandardizedName],Analiza_wRankingach[[#This Row],[Nazwa uczelni]],StandardName[Ranking],"=Webometrics")</f>
        <v>0</v>
      </c>
      <c r="AD119">
        <f>SUMIFS(StandardName[IDinTheRanking],StandardName[StandardizedName],Analiza_wRankingach[[#This Row],[Nazwa uczelni]],StandardName[Ranking],"=THE")</f>
        <v>59</v>
      </c>
      <c r="AE119">
        <f>SUMIFS(StandardName[IDinTheRanking],StandardName[StandardizedName],Analiza_wRankingach[[#This Row],[Nazwa uczelni]],StandardName[Ranking],"=ARWU")</f>
        <v>0</v>
      </c>
      <c r="AF119">
        <f>SUMIFS(StandardName[IDinTheRanking],StandardName[StandardizedName],Analiza_wRankingach[[#This Row],[Nazwa uczelni]],StandardName[Ranking],"=QS")</f>
        <v>0</v>
      </c>
      <c r="AG119">
        <f>SUMIFS(StandardName[IDinTheRanking],StandardName[StandardizedName],Analiza_wRankingach[[#This Row],[Nazwa uczelni]],StandardName[Ranking],"=Webometrics")</f>
        <v>0</v>
      </c>
      <c r="AH119">
        <f>SUM(Analiza_wRankingach[[#This Row],[THE_ID]:[Webometrics_ID]])</f>
        <v>59</v>
      </c>
      <c r="AI119" t="str">
        <f>IF(Analiza_wRankingach[[#This Row],[LiczbaWystąpień]]&gt;=T120,"OK","UWAGA")</f>
        <v>OK</v>
      </c>
    </row>
    <row r="120" spans="1:35" x14ac:dyDescent="0.45">
      <c r="A120">
        <v>118</v>
      </c>
      <c r="B120" t="str">
        <f>Analiza_wRankingach[[#This Row],[Nazwa uczelni]]</f>
        <v>University of Geneva</v>
      </c>
      <c r="C120">
        <f>Analiza_wRankingach[[#This Row],[WartośćKontrolna]]</f>
        <v>812</v>
      </c>
      <c r="D120">
        <f>Analiza_wRankingach[[#This Row],[THE_RV]]</f>
        <v>0</v>
      </c>
      <c r="E120">
        <f>Analiza_wRankingach[[#This Row],[ARWU_RV]]</f>
        <v>62</v>
      </c>
      <c r="F120">
        <f>Analiza_wRankingach[[#This Row],[QS_RV]]</f>
        <v>0</v>
      </c>
      <c r="G120">
        <f>Analiza_wRankingach[[#This Row],[Webometrics_RV]]</f>
        <v>0</v>
      </c>
      <c r="I120" t="s">
        <v>48</v>
      </c>
      <c r="J120">
        <v>18</v>
      </c>
      <c r="K120" t="s">
        <v>48</v>
      </c>
      <c r="L120">
        <v>18</v>
      </c>
      <c r="M120" t="s">
        <v>849</v>
      </c>
      <c r="O120" t="s">
        <v>594</v>
      </c>
      <c r="P120">
        <f>IF(SUMIFS(StandardName[IDinTheRanking],StandardName[StandardizedName],Analiza_wRankingach[[#This Row],[Nazwa uczelni]],StandardName[Ranking],"=THE")&gt;0,1,0)</f>
        <v>0</v>
      </c>
      <c r="Q120">
        <f>IF(SUMIFS(StandardName[IDinTheRanking],StandardName[StandardizedName],Analiza_wRankingach[[#This Row],[Nazwa uczelni]],StandardName[Ranking],"=ARWU")&gt;0,1,0)</f>
        <v>1</v>
      </c>
      <c r="R120">
        <f>IF(SUMIFS(StandardName[IDinTheRanking],StandardName[StandardizedName],Analiza_wRankingach[[#This Row],[Nazwa uczelni]],StandardName[Ranking],"=QS")&gt;0,1,0)</f>
        <v>0</v>
      </c>
      <c r="S120">
        <f>IF(SUMIFS(StandardName[IDinTheRanking],StandardName[StandardizedName],Analiza_wRankingach[[#This Row],[Nazwa uczelni]],StandardName[Ranking],"=Webometrics")&gt;0,1,0)</f>
        <v>0</v>
      </c>
      <c r="T120">
        <f>SUM(Analiza_wRankingach[[#This Row],[THE]:[Webometrics]])</f>
        <v>1</v>
      </c>
      <c r="U120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250</v>
      </c>
      <c r="V120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62</v>
      </c>
      <c r="W120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250</v>
      </c>
      <c r="X120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250</v>
      </c>
      <c r="Y120">
        <f>SUM(Analiza_wRankingach[[#This Row],[THE_RV1000]:[Webometrics_RV1000]])</f>
        <v>812</v>
      </c>
      <c r="Z120">
        <f>SUMIFS(StandardName[RankValueInTheRanking],StandardName[StandardizedName],Analiza_wRankingach[[#This Row],[Nazwa uczelni]],StandardName[Ranking],"=THE")</f>
        <v>0</v>
      </c>
      <c r="AA120">
        <f>SUMIFS(StandardName[RankValueInTheRanking],StandardName[StandardizedName],Analiza_wRankingach[[#This Row],[Nazwa uczelni]],StandardName[Ranking],"=ARWU")</f>
        <v>62</v>
      </c>
      <c r="AB120">
        <f>SUMIFS(StandardName[RankValueInTheRanking],StandardName[StandardizedName],Analiza_wRankingach[[#This Row],[Nazwa uczelni]],StandardName[Ranking],"=QS")</f>
        <v>0</v>
      </c>
      <c r="AC120">
        <f>SUMIFS(StandardName[RankValueInTheRanking],StandardName[StandardizedName],Analiza_wRankingach[[#This Row],[Nazwa uczelni]],StandardName[Ranking],"=Webometrics")</f>
        <v>0</v>
      </c>
      <c r="AD120">
        <f>SUMIFS(StandardName[IDinTheRanking],StandardName[StandardizedName],Analiza_wRankingach[[#This Row],[Nazwa uczelni]],StandardName[Ranking],"=THE")</f>
        <v>0</v>
      </c>
      <c r="AE120">
        <f>SUMIFS(StandardName[IDinTheRanking],StandardName[StandardizedName],Analiza_wRankingach[[#This Row],[Nazwa uczelni]],StandardName[Ranking],"=ARWU")</f>
        <v>62</v>
      </c>
      <c r="AF120">
        <f>SUMIFS(StandardName[IDinTheRanking],StandardName[StandardizedName],Analiza_wRankingach[[#This Row],[Nazwa uczelni]],StandardName[Ranking],"=QS")</f>
        <v>0</v>
      </c>
      <c r="AG120">
        <f>SUMIFS(StandardName[IDinTheRanking],StandardName[StandardizedName],Analiza_wRankingach[[#This Row],[Nazwa uczelni]],StandardName[Ranking],"=Webometrics")</f>
        <v>0</v>
      </c>
      <c r="AH120">
        <f>SUM(Analiza_wRankingach[[#This Row],[THE_ID]:[Webometrics_ID]])</f>
        <v>62</v>
      </c>
      <c r="AI120" t="str">
        <f>IF(Analiza_wRankingach[[#This Row],[LiczbaWystąpień]]&gt;=T121,"OK","UWAGA")</f>
        <v>OK</v>
      </c>
    </row>
    <row r="121" spans="1:35" x14ac:dyDescent="0.45">
      <c r="A121">
        <v>119</v>
      </c>
      <c r="B121" t="str">
        <f>Analiza_wRankingach[[#This Row],[Nazwa uczelni]]</f>
        <v>University of Utah</v>
      </c>
      <c r="C121">
        <f>Analiza_wRankingach[[#This Row],[WartośćKontrolna]]</f>
        <v>813</v>
      </c>
      <c r="D121">
        <f>Analiza_wRankingach[[#This Row],[THE_RV]]</f>
        <v>0</v>
      </c>
      <c r="E121">
        <f>Analiza_wRankingach[[#This Row],[ARWU_RV]]</f>
        <v>0</v>
      </c>
      <c r="F121">
        <f>Analiza_wRankingach[[#This Row],[QS_RV]]</f>
        <v>0</v>
      </c>
      <c r="G121">
        <f>Analiza_wRankingach[[#This Row],[Webometrics_RV]]</f>
        <v>63</v>
      </c>
      <c r="I121" t="s">
        <v>652</v>
      </c>
      <c r="J121">
        <v>19</v>
      </c>
      <c r="K121" t="s">
        <v>614</v>
      </c>
      <c r="L121">
        <v>19</v>
      </c>
      <c r="M121" t="s">
        <v>849</v>
      </c>
      <c r="O121" t="s">
        <v>820</v>
      </c>
      <c r="P121">
        <f>IF(SUMIFS(StandardName[IDinTheRanking],StandardName[StandardizedName],Analiza_wRankingach[[#This Row],[Nazwa uczelni]],StandardName[Ranking],"=THE")&gt;0,1,0)</f>
        <v>0</v>
      </c>
      <c r="Q121">
        <f>IF(SUMIFS(StandardName[IDinTheRanking],StandardName[StandardizedName],Analiza_wRankingach[[#This Row],[Nazwa uczelni]],StandardName[Ranking],"=ARWU")&gt;0,1,0)</f>
        <v>0</v>
      </c>
      <c r="R121">
        <f>IF(SUMIFS(StandardName[IDinTheRanking],StandardName[StandardizedName],Analiza_wRankingach[[#This Row],[Nazwa uczelni]],StandardName[Ranking],"=QS")&gt;0,1,0)</f>
        <v>0</v>
      </c>
      <c r="S121">
        <f>IF(SUMIFS(StandardName[IDinTheRanking],StandardName[StandardizedName],Analiza_wRankingach[[#This Row],[Nazwa uczelni]],StandardName[Ranking],"=Webometrics")&gt;0,1,0)</f>
        <v>1</v>
      </c>
      <c r="T121">
        <f>SUM(Analiza_wRankingach[[#This Row],[THE]:[Webometrics]])</f>
        <v>1</v>
      </c>
      <c r="U121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250</v>
      </c>
      <c r="V121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250</v>
      </c>
      <c r="W121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250</v>
      </c>
      <c r="X121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63</v>
      </c>
      <c r="Y121">
        <f>SUM(Analiza_wRankingach[[#This Row],[THE_RV1000]:[Webometrics_RV1000]])</f>
        <v>813</v>
      </c>
      <c r="Z121">
        <f>SUMIFS(StandardName[RankValueInTheRanking],StandardName[StandardizedName],Analiza_wRankingach[[#This Row],[Nazwa uczelni]],StandardName[Ranking],"=THE")</f>
        <v>0</v>
      </c>
      <c r="AA121">
        <f>SUMIFS(StandardName[RankValueInTheRanking],StandardName[StandardizedName],Analiza_wRankingach[[#This Row],[Nazwa uczelni]],StandardName[Ranking],"=ARWU")</f>
        <v>0</v>
      </c>
      <c r="AB121">
        <f>SUMIFS(StandardName[RankValueInTheRanking],StandardName[StandardizedName],Analiza_wRankingach[[#This Row],[Nazwa uczelni]],StandardName[Ranking],"=QS")</f>
        <v>0</v>
      </c>
      <c r="AC121">
        <f>SUMIFS(StandardName[RankValueInTheRanking],StandardName[StandardizedName],Analiza_wRankingach[[#This Row],[Nazwa uczelni]],StandardName[Ranking],"=Webometrics")</f>
        <v>63</v>
      </c>
      <c r="AD121">
        <f>SUMIFS(StandardName[IDinTheRanking],StandardName[StandardizedName],Analiza_wRankingach[[#This Row],[Nazwa uczelni]],StandardName[Ranking],"=THE")</f>
        <v>0</v>
      </c>
      <c r="AE121">
        <f>SUMIFS(StandardName[IDinTheRanking],StandardName[StandardizedName],Analiza_wRankingach[[#This Row],[Nazwa uczelni]],StandardName[Ranking],"=ARWU")</f>
        <v>0</v>
      </c>
      <c r="AF121">
        <f>SUMIFS(StandardName[IDinTheRanking],StandardName[StandardizedName],Analiza_wRankingach[[#This Row],[Nazwa uczelni]],StandardName[Ranking],"=QS")</f>
        <v>0</v>
      </c>
      <c r="AG121">
        <f>SUMIFS(StandardName[IDinTheRanking],StandardName[StandardizedName],Analiza_wRankingach[[#This Row],[Nazwa uczelni]],StandardName[Ranking],"=Webometrics")</f>
        <v>63</v>
      </c>
      <c r="AH121">
        <f>SUM(Analiza_wRankingach[[#This Row],[THE_ID]:[Webometrics_ID]])</f>
        <v>63</v>
      </c>
      <c r="AI121" t="str">
        <f>IF(Analiza_wRankingach[[#This Row],[LiczbaWystąpień]]&gt;=T122,"OK","UWAGA")</f>
        <v>OK</v>
      </c>
    </row>
    <row r="122" spans="1:35" x14ac:dyDescent="0.45">
      <c r="A122">
        <v>120</v>
      </c>
      <c r="B122" t="str">
        <f>Analiza_wRankingach[[#This Row],[Nazwa uczelni]]</f>
        <v>The University of Warwick</v>
      </c>
      <c r="C122">
        <f>Analiza_wRankingach[[#This Row],[WartośćKontrolna]]</f>
        <v>814</v>
      </c>
      <c r="D122">
        <f>Analiza_wRankingach[[#This Row],[THE_RV]]</f>
        <v>0</v>
      </c>
      <c r="E122">
        <f>Analiza_wRankingach[[#This Row],[ARWU_RV]]</f>
        <v>0</v>
      </c>
      <c r="F122">
        <f>Analiza_wRankingach[[#This Row],[QS_RV]]</f>
        <v>64</v>
      </c>
      <c r="G122">
        <f>Analiza_wRankingach[[#This Row],[Webometrics_RV]]</f>
        <v>0</v>
      </c>
      <c r="I122" t="s">
        <v>118</v>
      </c>
      <c r="J122">
        <v>20</v>
      </c>
      <c r="K122" t="s">
        <v>118</v>
      </c>
      <c r="L122">
        <v>20</v>
      </c>
      <c r="M122" t="s">
        <v>849</v>
      </c>
      <c r="O122" t="s">
        <v>715</v>
      </c>
      <c r="P122">
        <f>IF(SUMIFS(StandardName[IDinTheRanking],StandardName[StandardizedName],Analiza_wRankingach[[#This Row],[Nazwa uczelni]],StandardName[Ranking],"=THE")&gt;0,1,0)</f>
        <v>0</v>
      </c>
      <c r="Q122">
        <f>IF(SUMIFS(StandardName[IDinTheRanking],StandardName[StandardizedName],Analiza_wRankingach[[#This Row],[Nazwa uczelni]],StandardName[Ranking],"=ARWU")&gt;0,1,0)</f>
        <v>0</v>
      </c>
      <c r="R122">
        <f>IF(SUMIFS(StandardName[IDinTheRanking],StandardName[StandardizedName],Analiza_wRankingach[[#This Row],[Nazwa uczelni]],StandardName[Ranking],"=QS")&gt;0,1,0)</f>
        <v>1</v>
      </c>
      <c r="S122">
        <f>IF(SUMIFS(StandardName[IDinTheRanking],StandardName[StandardizedName],Analiza_wRankingach[[#This Row],[Nazwa uczelni]],StandardName[Ranking],"=Webometrics")&gt;0,1,0)</f>
        <v>0</v>
      </c>
      <c r="T122">
        <f>SUM(Analiza_wRankingach[[#This Row],[THE]:[Webometrics]])</f>
        <v>1</v>
      </c>
      <c r="U122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250</v>
      </c>
      <c r="V122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250</v>
      </c>
      <c r="W122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64</v>
      </c>
      <c r="X122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250</v>
      </c>
      <c r="Y122">
        <f>SUM(Analiza_wRankingach[[#This Row],[THE_RV1000]:[Webometrics_RV1000]])</f>
        <v>814</v>
      </c>
      <c r="Z122">
        <f>SUMIFS(StandardName[RankValueInTheRanking],StandardName[StandardizedName],Analiza_wRankingach[[#This Row],[Nazwa uczelni]],StandardName[Ranking],"=THE")</f>
        <v>0</v>
      </c>
      <c r="AA122">
        <f>SUMIFS(StandardName[RankValueInTheRanking],StandardName[StandardizedName],Analiza_wRankingach[[#This Row],[Nazwa uczelni]],StandardName[Ranking],"=ARWU")</f>
        <v>0</v>
      </c>
      <c r="AB122">
        <f>SUMIFS(StandardName[RankValueInTheRanking],StandardName[StandardizedName],Analiza_wRankingach[[#This Row],[Nazwa uczelni]],StandardName[Ranking],"=QS")</f>
        <v>64</v>
      </c>
      <c r="AC122">
        <f>SUMIFS(StandardName[RankValueInTheRanking],StandardName[StandardizedName],Analiza_wRankingach[[#This Row],[Nazwa uczelni]],StandardName[Ranking],"=Webometrics")</f>
        <v>0</v>
      </c>
      <c r="AD122">
        <f>SUMIFS(StandardName[IDinTheRanking],StandardName[StandardizedName],Analiza_wRankingach[[#This Row],[Nazwa uczelni]],StandardName[Ranking],"=THE")</f>
        <v>0</v>
      </c>
      <c r="AE122">
        <f>SUMIFS(StandardName[IDinTheRanking],StandardName[StandardizedName],Analiza_wRankingach[[#This Row],[Nazwa uczelni]],StandardName[Ranking],"=ARWU")</f>
        <v>0</v>
      </c>
      <c r="AF122">
        <f>SUMIFS(StandardName[IDinTheRanking],StandardName[StandardizedName],Analiza_wRankingach[[#This Row],[Nazwa uczelni]],StandardName[Ranking],"=QS")</f>
        <v>64</v>
      </c>
      <c r="AG122">
        <f>SUMIFS(StandardName[IDinTheRanking],StandardName[StandardizedName],Analiza_wRankingach[[#This Row],[Nazwa uczelni]],StandardName[Ranking],"=Webometrics")</f>
        <v>0</v>
      </c>
      <c r="AH122">
        <f>SUM(Analiza_wRankingach[[#This Row],[THE_ID]:[Webometrics_ID]])</f>
        <v>64</v>
      </c>
      <c r="AI122" t="str">
        <f>IF(Analiza_wRankingach[[#This Row],[LiczbaWystąpień]]&gt;=T123,"OK","UWAGA")</f>
        <v>OK</v>
      </c>
    </row>
    <row r="123" spans="1:35" x14ac:dyDescent="0.45">
      <c r="A123">
        <v>121</v>
      </c>
      <c r="B123" t="str">
        <f>Analiza_wRankingach[[#This Row],[Nazwa uczelni]]</f>
        <v>University of Virginia</v>
      </c>
      <c r="C123">
        <f>Analiza_wRankingach[[#This Row],[WartośćKontrolna]]</f>
        <v>814</v>
      </c>
      <c r="D123">
        <f>Analiza_wRankingach[[#This Row],[THE_RV]]</f>
        <v>0</v>
      </c>
      <c r="E123">
        <f>Analiza_wRankingach[[#This Row],[ARWU_RV]]</f>
        <v>0</v>
      </c>
      <c r="F123">
        <f>Analiza_wRankingach[[#This Row],[QS_RV]]</f>
        <v>0</v>
      </c>
      <c r="G123">
        <f>Analiza_wRankingach[[#This Row],[Webometrics_RV]]</f>
        <v>64</v>
      </c>
      <c r="I123" t="s">
        <v>621</v>
      </c>
      <c r="J123">
        <v>21</v>
      </c>
      <c r="K123" t="s">
        <v>179</v>
      </c>
      <c r="L123">
        <v>21</v>
      </c>
      <c r="M123" t="s">
        <v>849</v>
      </c>
      <c r="O123" t="s">
        <v>821</v>
      </c>
      <c r="P123">
        <f>IF(SUMIFS(StandardName[IDinTheRanking],StandardName[StandardizedName],Analiza_wRankingach[[#This Row],[Nazwa uczelni]],StandardName[Ranking],"=THE")&gt;0,1,0)</f>
        <v>0</v>
      </c>
      <c r="Q123">
        <f>IF(SUMIFS(StandardName[IDinTheRanking],StandardName[StandardizedName],Analiza_wRankingach[[#This Row],[Nazwa uczelni]],StandardName[Ranking],"=ARWU")&gt;0,1,0)</f>
        <v>0</v>
      </c>
      <c r="R123">
        <f>IF(SUMIFS(StandardName[IDinTheRanking],StandardName[StandardizedName],Analiza_wRankingach[[#This Row],[Nazwa uczelni]],StandardName[Ranking],"=QS")&gt;0,1,0)</f>
        <v>0</v>
      </c>
      <c r="S123">
        <f>IF(SUMIFS(StandardName[IDinTheRanking],StandardName[StandardizedName],Analiza_wRankingach[[#This Row],[Nazwa uczelni]],StandardName[Ranking],"=Webometrics")&gt;0,1,0)</f>
        <v>1</v>
      </c>
      <c r="T123">
        <f>SUM(Analiza_wRankingach[[#This Row],[THE]:[Webometrics]])</f>
        <v>1</v>
      </c>
      <c r="U123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250</v>
      </c>
      <c r="V123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250</v>
      </c>
      <c r="W123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250</v>
      </c>
      <c r="X123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64</v>
      </c>
      <c r="Y123">
        <f>SUM(Analiza_wRankingach[[#This Row],[THE_RV1000]:[Webometrics_RV1000]])</f>
        <v>814</v>
      </c>
      <c r="Z123">
        <f>SUMIFS(StandardName[RankValueInTheRanking],StandardName[StandardizedName],Analiza_wRankingach[[#This Row],[Nazwa uczelni]],StandardName[Ranking],"=THE")</f>
        <v>0</v>
      </c>
      <c r="AA123">
        <f>SUMIFS(StandardName[RankValueInTheRanking],StandardName[StandardizedName],Analiza_wRankingach[[#This Row],[Nazwa uczelni]],StandardName[Ranking],"=ARWU")</f>
        <v>0</v>
      </c>
      <c r="AB123">
        <f>SUMIFS(StandardName[RankValueInTheRanking],StandardName[StandardizedName],Analiza_wRankingach[[#This Row],[Nazwa uczelni]],StandardName[Ranking],"=QS")</f>
        <v>0</v>
      </c>
      <c r="AC123">
        <f>SUMIFS(StandardName[RankValueInTheRanking],StandardName[StandardizedName],Analiza_wRankingach[[#This Row],[Nazwa uczelni]],StandardName[Ranking],"=Webometrics")</f>
        <v>64</v>
      </c>
      <c r="AD123">
        <f>SUMIFS(StandardName[IDinTheRanking],StandardName[StandardizedName],Analiza_wRankingach[[#This Row],[Nazwa uczelni]],StandardName[Ranking],"=THE")</f>
        <v>0</v>
      </c>
      <c r="AE123">
        <f>SUMIFS(StandardName[IDinTheRanking],StandardName[StandardizedName],Analiza_wRankingach[[#This Row],[Nazwa uczelni]],StandardName[Ranking],"=ARWU")</f>
        <v>0</v>
      </c>
      <c r="AF123">
        <f>SUMIFS(StandardName[IDinTheRanking],StandardName[StandardizedName],Analiza_wRankingach[[#This Row],[Nazwa uczelni]],StandardName[Ranking],"=QS")</f>
        <v>0</v>
      </c>
      <c r="AG123">
        <f>SUMIFS(StandardName[IDinTheRanking],StandardName[StandardizedName],Analiza_wRankingach[[#This Row],[Nazwa uczelni]],StandardName[Ranking],"=Webometrics")</f>
        <v>64</v>
      </c>
      <c r="AH123">
        <f>SUM(Analiza_wRankingach[[#This Row],[THE_ID]:[Webometrics_ID]])</f>
        <v>64</v>
      </c>
      <c r="AI123" t="str">
        <f>IF(Analiza_wRankingach[[#This Row],[LiczbaWystąpień]]&gt;=T124,"OK","UWAGA")</f>
        <v>OK</v>
      </c>
    </row>
    <row r="124" spans="1:35" x14ac:dyDescent="0.45">
      <c r="A124">
        <v>122</v>
      </c>
      <c r="B124" t="str">
        <f>Analiza_wRankingach[[#This Row],[Nazwa uczelni]]</f>
        <v>Universidad de Buenos Aires (UBA)</v>
      </c>
      <c r="C124">
        <f>Analiza_wRankingach[[#This Row],[WartośćKontrolna]]</f>
        <v>817</v>
      </c>
      <c r="D124">
        <f>Analiza_wRankingach[[#This Row],[THE_RV]]</f>
        <v>0</v>
      </c>
      <c r="E124">
        <f>Analiza_wRankingach[[#This Row],[ARWU_RV]]</f>
        <v>0</v>
      </c>
      <c r="F124">
        <f>Analiza_wRankingach[[#This Row],[QS_RV]]</f>
        <v>67</v>
      </c>
      <c r="G124">
        <f>Analiza_wRankingach[[#This Row],[Webometrics_RV]]</f>
        <v>0</v>
      </c>
      <c r="I124" t="s">
        <v>61</v>
      </c>
      <c r="J124">
        <v>22</v>
      </c>
      <c r="K124" t="s">
        <v>61</v>
      </c>
      <c r="L124">
        <v>22</v>
      </c>
      <c r="M124" t="s">
        <v>849</v>
      </c>
      <c r="O124" t="s">
        <v>720</v>
      </c>
      <c r="P124">
        <f>IF(SUMIFS(StandardName[IDinTheRanking],StandardName[StandardizedName],Analiza_wRankingach[[#This Row],[Nazwa uczelni]],StandardName[Ranking],"=THE")&gt;0,1,0)</f>
        <v>0</v>
      </c>
      <c r="Q124">
        <f>IF(SUMIFS(StandardName[IDinTheRanking],StandardName[StandardizedName],Analiza_wRankingach[[#This Row],[Nazwa uczelni]],StandardName[Ranking],"=ARWU")&gt;0,1,0)</f>
        <v>0</v>
      </c>
      <c r="R124">
        <f>IF(SUMIFS(StandardName[IDinTheRanking],StandardName[StandardizedName],Analiza_wRankingach[[#This Row],[Nazwa uczelni]],StandardName[Ranking],"=QS")&gt;0,1,0)</f>
        <v>1</v>
      </c>
      <c r="S124">
        <f>IF(SUMIFS(StandardName[IDinTheRanking],StandardName[StandardizedName],Analiza_wRankingach[[#This Row],[Nazwa uczelni]],StandardName[Ranking],"=Webometrics")&gt;0,1,0)</f>
        <v>0</v>
      </c>
      <c r="T124">
        <f>SUM(Analiza_wRankingach[[#This Row],[THE]:[Webometrics]])</f>
        <v>1</v>
      </c>
      <c r="U124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250</v>
      </c>
      <c r="V124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250</v>
      </c>
      <c r="W124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67</v>
      </c>
      <c r="X124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250</v>
      </c>
      <c r="Y124">
        <f>SUM(Analiza_wRankingach[[#This Row],[THE_RV1000]:[Webometrics_RV1000]])</f>
        <v>817</v>
      </c>
      <c r="Z124">
        <f>SUMIFS(StandardName[RankValueInTheRanking],StandardName[StandardizedName],Analiza_wRankingach[[#This Row],[Nazwa uczelni]],StandardName[Ranking],"=THE")</f>
        <v>0</v>
      </c>
      <c r="AA124">
        <f>SUMIFS(StandardName[RankValueInTheRanking],StandardName[StandardizedName],Analiza_wRankingach[[#This Row],[Nazwa uczelni]],StandardName[Ranking],"=ARWU")</f>
        <v>0</v>
      </c>
      <c r="AB124">
        <f>SUMIFS(StandardName[RankValueInTheRanking],StandardName[StandardizedName],Analiza_wRankingach[[#This Row],[Nazwa uczelni]],StandardName[Ranking],"=QS")</f>
        <v>67</v>
      </c>
      <c r="AC124">
        <f>SUMIFS(StandardName[RankValueInTheRanking],StandardName[StandardizedName],Analiza_wRankingach[[#This Row],[Nazwa uczelni]],StandardName[Ranking],"=Webometrics")</f>
        <v>0</v>
      </c>
      <c r="AD124">
        <f>SUMIFS(StandardName[IDinTheRanking],StandardName[StandardizedName],Analiza_wRankingach[[#This Row],[Nazwa uczelni]],StandardName[Ranking],"=THE")</f>
        <v>0</v>
      </c>
      <c r="AE124">
        <f>SUMIFS(StandardName[IDinTheRanking],StandardName[StandardizedName],Analiza_wRankingach[[#This Row],[Nazwa uczelni]],StandardName[Ranking],"=ARWU")</f>
        <v>0</v>
      </c>
      <c r="AF124">
        <f>SUMIFS(StandardName[IDinTheRanking],StandardName[StandardizedName],Analiza_wRankingach[[#This Row],[Nazwa uczelni]],StandardName[Ranking],"=QS")</f>
        <v>67</v>
      </c>
      <c r="AG124">
        <f>SUMIFS(StandardName[IDinTheRanking],StandardName[StandardizedName],Analiza_wRankingach[[#This Row],[Nazwa uczelni]],StandardName[Ranking],"=Webometrics")</f>
        <v>0</v>
      </c>
      <c r="AH124">
        <f>SUM(Analiza_wRankingach[[#This Row],[THE_ID]:[Webometrics_ID]])</f>
        <v>67</v>
      </c>
      <c r="AI124" t="str">
        <f>IF(Analiza_wRankingach[[#This Row],[LiczbaWystąpień]]&gt;=T125,"OK","UWAGA")</f>
        <v>OK</v>
      </c>
    </row>
    <row r="125" spans="1:35" x14ac:dyDescent="0.45">
      <c r="A125">
        <v>123</v>
      </c>
      <c r="B125" t="str">
        <f>Analiza_wRankingach[[#This Row],[Nazwa uczelni]]</f>
        <v>Osaka University</v>
      </c>
      <c r="C125">
        <f>Analiza_wRankingach[[#This Row],[WartośćKontrolna]]</f>
        <v>818</v>
      </c>
      <c r="D125">
        <f>Analiza_wRankingach[[#This Row],[THE_RV]]</f>
        <v>0</v>
      </c>
      <c r="E125">
        <f>Analiza_wRankingach[[#This Row],[ARWU_RV]]</f>
        <v>0</v>
      </c>
      <c r="F125">
        <f>Analiza_wRankingach[[#This Row],[QS_RV]]</f>
        <v>68</v>
      </c>
      <c r="G125">
        <f>Analiza_wRankingach[[#This Row],[Webometrics_RV]]</f>
        <v>0</v>
      </c>
      <c r="I125" t="s">
        <v>220</v>
      </c>
      <c r="J125">
        <v>23</v>
      </c>
      <c r="K125" t="s">
        <v>854</v>
      </c>
      <c r="L125">
        <v>23</v>
      </c>
      <c r="M125" t="s">
        <v>849</v>
      </c>
      <c r="O125" t="s">
        <v>722</v>
      </c>
      <c r="P125">
        <f>IF(SUMIFS(StandardName[IDinTheRanking],StandardName[StandardizedName],Analiza_wRankingach[[#This Row],[Nazwa uczelni]],StandardName[Ranking],"=THE")&gt;0,1,0)</f>
        <v>0</v>
      </c>
      <c r="Q125">
        <f>IF(SUMIFS(StandardName[IDinTheRanking],StandardName[StandardizedName],Analiza_wRankingach[[#This Row],[Nazwa uczelni]],StandardName[Ranking],"=ARWU")&gt;0,1,0)</f>
        <v>0</v>
      </c>
      <c r="R125">
        <f>IF(SUMIFS(StandardName[IDinTheRanking],StandardName[StandardizedName],Analiza_wRankingach[[#This Row],[Nazwa uczelni]],StandardName[Ranking],"=QS")&gt;0,1,0)</f>
        <v>1</v>
      </c>
      <c r="S125">
        <f>IF(SUMIFS(StandardName[IDinTheRanking],StandardName[StandardizedName],Analiza_wRankingach[[#This Row],[Nazwa uczelni]],StandardName[Ranking],"=Webometrics")&gt;0,1,0)</f>
        <v>0</v>
      </c>
      <c r="T125">
        <f>SUM(Analiza_wRankingach[[#This Row],[THE]:[Webometrics]])</f>
        <v>1</v>
      </c>
      <c r="U125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250</v>
      </c>
      <c r="V125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250</v>
      </c>
      <c r="W125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68</v>
      </c>
      <c r="X125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250</v>
      </c>
      <c r="Y125">
        <f>SUM(Analiza_wRankingach[[#This Row],[THE_RV1000]:[Webometrics_RV1000]])</f>
        <v>818</v>
      </c>
      <c r="Z125">
        <f>SUMIFS(StandardName[RankValueInTheRanking],StandardName[StandardizedName],Analiza_wRankingach[[#This Row],[Nazwa uczelni]],StandardName[Ranking],"=THE")</f>
        <v>0</v>
      </c>
      <c r="AA125">
        <f>SUMIFS(StandardName[RankValueInTheRanking],StandardName[StandardizedName],Analiza_wRankingach[[#This Row],[Nazwa uczelni]],StandardName[Ranking],"=ARWU")</f>
        <v>0</v>
      </c>
      <c r="AB125">
        <f>SUMIFS(StandardName[RankValueInTheRanking],StandardName[StandardizedName],Analiza_wRankingach[[#This Row],[Nazwa uczelni]],StandardName[Ranking],"=QS")</f>
        <v>68</v>
      </c>
      <c r="AC125">
        <f>SUMIFS(StandardName[RankValueInTheRanking],StandardName[StandardizedName],Analiza_wRankingach[[#This Row],[Nazwa uczelni]],StandardName[Ranking],"=Webometrics")</f>
        <v>0</v>
      </c>
      <c r="AD125">
        <f>SUMIFS(StandardName[IDinTheRanking],StandardName[StandardizedName],Analiza_wRankingach[[#This Row],[Nazwa uczelni]],StandardName[Ranking],"=THE")</f>
        <v>0</v>
      </c>
      <c r="AE125">
        <f>SUMIFS(StandardName[IDinTheRanking],StandardName[StandardizedName],Analiza_wRankingach[[#This Row],[Nazwa uczelni]],StandardName[Ranking],"=ARWU")</f>
        <v>0</v>
      </c>
      <c r="AF125">
        <f>SUMIFS(StandardName[IDinTheRanking],StandardName[StandardizedName],Analiza_wRankingach[[#This Row],[Nazwa uczelni]],StandardName[Ranking],"=QS")</f>
        <v>68</v>
      </c>
      <c r="AG125">
        <f>SUMIFS(StandardName[IDinTheRanking],StandardName[StandardizedName],Analiza_wRankingach[[#This Row],[Nazwa uczelni]],StandardName[Ranking],"=Webometrics")</f>
        <v>0</v>
      </c>
      <c r="AH125">
        <f>SUM(Analiza_wRankingach[[#This Row],[THE_ID]:[Webometrics_ID]])</f>
        <v>68</v>
      </c>
      <c r="AI125" t="str">
        <f>IF(Analiza_wRankingach[[#This Row],[LiczbaWystąpień]]&gt;=T126,"OK","UWAGA")</f>
        <v>OK</v>
      </c>
    </row>
    <row r="126" spans="1:35" x14ac:dyDescent="0.45">
      <c r="A126">
        <v>124</v>
      </c>
      <c r="B126" t="str">
        <f>Analiza_wRankingach[[#This Row],[Nazwa uczelni]]</f>
        <v>Aarhus University</v>
      </c>
      <c r="C126">
        <f>Analiza_wRankingach[[#This Row],[WartośćKontrolna]]</f>
        <v>819</v>
      </c>
      <c r="D126">
        <f>Analiza_wRankingach[[#This Row],[THE_RV]]</f>
        <v>0</v>
      </c>
      <c r="E126">
        <f>Analiza_wRankingach[[#This Row],[ARWU_RV]]</f>
        <v>69</v>
      </c>
      <c r="F126">
        <f>Analiza_wRankingach[[#This Row],[QS_RV]]</f>
        <v>0</v>
      </c>
      <c r="G126">
        <f>Analiza_wRankingach[[#This Row],[Webometrics_RV]]</f>
        <v>0</v>
      </c>
      <c r="I126" t="s">
        <v>83</v>
      </c>
      <c r="J126">
        <v>24</v>
      </c>
      <c r="K126" t="s">
        <v>83</v>
      </c>
      <c r="L126">
        <v>24</v>
      </c>
      <c r="M126" t="s">
        <v>849</v>
      </c>
      <c r="O126" t="s">
        <v>599</v>
      </c>
      <c r="P126">
        <f>IF(SUMIFS(StandardName[IDinTheRanking],StandardName[StandardizedName],Analiza_wRankingach[[#This Row],[Nazwa uczelni]],StandardName[Ranking],"=THE")&gt;0,1,0)</f>
        <v>0</v>
      </c>
      <c r="Q126">
        <f>IF(SUMIFS(StandardName[IDinTheRanking],StandardName[StandardizedName],Analiza_wRankingach[[#This Row],[Nazwa uczelni]],StandardName[Ranking],"=ARWU")&gt;0,1,0)</f>
        <v>1</v>
      </c>
      <c r="R126">
        <f>IF(SUMIFS(StandardName[IDinTheRanking],StandardName[StandardizedName],Analiza_wRankingach[[#This Row],[Nazwa uczelni]],StandardName[Ranking],"=QS")&gt;0,1,0)</f>
        <v>0</v>
      </c>
      <c r="S126">
        <f>IF(SUMIFS(StandardName[IDinTheRanking],StandardName[StandardizedName],Analiza_wRankingach[[#This Row],[Nazwa uczelni]],StandardName[Ranking],"=Webometrics")&gt;0,1,0)</f>
        <v>0</v>
      </c>
      <c r="T126">
        <f>SUM(Analiza_wRankingach[[#This Row],[THE]:[Webometrics]])</f>
        <v>1</v>
      </c>
      <c r="U126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250</v>
      </c>
      <c r="V126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69</v>
      </c>
      <c r="W126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250</v>
      </c>
      <c r="X126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250</v>
      </c>
      <c r="Y126">
        <f>SUM(Analiza_wRankingach[[#This Row],[THE_RV1000]:[Webometrics_RV1000]])</f>
        <v>819</v>
      </c>
      <c r="Z126">
        <f>SUMIFS(StandardName[RankValueInTheRanking],StandardName[StandardizedName],Analiza_wRankingach[[#This Row],[Nazwa uczelni]],StandardName[Ranking],"=THE")</f>
        <v>0</v>
      </c>
      <c r="AA126">
        <f>SUMIFS(StandardName[RankValueInTheRanking],StandardName[StandardizedName],Analiza_wRankingach[[#This Row],[Nazwa uczelni]],StandardName[Ranking],"=ARWU")</f>
        <v>69</v>
      </c>
      <c r="AB126">
        <f>SUMIFS(StandardName[RankValueInTheRanking],StandardName[StandardizedName],Analiza_wRankingach[[#This Row],[Nazwa uczelni]],StandardName[Ranking],"=QS")</f>
        <v>0</v>
      </c>
      <c r="AC126">
        <f>SUMIFS(StandardName[RankValueInTheRanking],StandardName[StandardizedName],Analiza_wRankingach[[#This Row],[Nazwa uczelni]],StandardName[Ranking],"=Webometrics")</f>
        <v>0</v>
      </c>
      <c r="AD126">
        <f>SUMIFS(StandardName[IDinTheRanking],StandardName[StandardizedName],Analiza_wRankingach[[#This Row],[Nazwa uczelni]],StandardName[Ranking],"=THE")</f>
        <v>0</v>
      </c>
      <c r="AE126">
        <f>SUMIFS(StandardName[IDinTheRanking],StandardName[StandardizedName],Analiza_wRankingach[[#This Row],[Nazwa uczelni]],StandardName[Ranking],"=ARWU")</f>
        <v>69</v>
      </c>
      <c r="AF126">
        <f>SUMIFS(StandardName[IDinTheRanking],StandardName[StandardizedName],Analiza_wRankingach[[#This Row],[Nazwa uczelni]],StandardName[Ranking],"=QS")</f>
        <v>0</v>
      </c>
      <c r="AG126">
        <f>SUMIFS(StandardName[IDinTheRanking],StandardName[StandardizedName],Analiza_wRankingach[[#This Row],[Nazwa uczelni]],StandardName[Ranking],"=Webometrics")</f>
        <v>0</v>
      </c>
      <c r="AH126">
        <f>SUM(Analiza_wRankingach[[#This Row],[THE_ID]:[Webometrics_ID]])</f>
        <v>69</v>
      </c>
      <c r="AI126" t="str">
        <f>IF(Analiza_wRankingach[[#This Row],[LiczbaWystąpień]]&gt;=T127,"OK","UWAGA")</f>
        <v>OK</v>
      </c>
    </row>
    <row r="127" spans="1:35" x14ac:dyDescent="0.45">
      <c r="A127">
        <v>125</v>
      </c>
      <c r="B127" t="str">
        <f>Analiza_wRankingach[[#This Row],[Nazwa uczelni]]</f>
        <v>Universidade de São Paulo USP</v>
      </c>
      <c r="C127">
        <f>Analiza_wRankingach[[#This Row],[WartośćKontrolna]]</f>
        <v>820</v>
      </c>
      <c r="D127">
        <f>Analiza_wRankingach[[#This Row],[THE_RV]]</f>
        <v>0</v>
      </c>
      <c r="E127">
        <f>Analiza_wRankingach[[#This Row],[ARWU_RV]]</f>
        <v>0</v>
      </c>
      <c r="F127">
        <f>Analiza_wRankingach[[#This Row],[QS_RV]]</f>
        <v>0</v>
      </c>
      <c r="G127">
        <f>Analiza_wRankingach[[#This Row],[Webometrics_RV]]</f>
        <v>70</v>
      </c>
      <c r="I127" t="s">
        <v>133</v>
      </c>
      <c r="J127">
        <v>25</v>
      </c>
      <c r="K127" t="s">
        <v>133</v>
      </c>
      <c r="L127">
        <v>25</v>
      </c>
      <c r="M127" t="s">
        <v>849</v>
      </c>
      <c r="O127" t="s">
        <v>826</v>
      </c>
      <c r="P127">
        <f>IF(SUMIFS(StandardName[IDinTheRanking],StandardName[StandardizedName],Analiza_wRankingach[[#This Row],[Nazwa uczelni]],StandardName[Ranking],"=THE")&gt;0,1,0)</f>
        <v>0</v>
      </c>
      <c r="Q127">
        <f>IF(SUMIFS(StandardName[IDinTheRanking],StandardName[StandardizedName],Analiza_wRankingach[[#This Row],[Nazwa uczelni]],StandardName[Ranking],"=ARWU")&gt;0,1,0)</f>
        <v>0</v>
      </c>
      <c r="R127">
        <f>IF(SUMIFS(StandardName[IDinTheRanking],StandardName[StandardizedName],Analiza_wRankingach[[#This Row],[Nazwa uczelni]],StandardName[Ranking],"=QS")&gt;0,1,0)</f>
        <v>0</v>
      </c>
      <c r="S127">
        <f>IF(SUMIFS(StandardName[IDinTheRanking],StandardName[StandardizedName],Analiza_wRankingach[[#This Row],[Nazwa uczelni]],StandardName[Ranking],"=Webometrics")&gt;0,1,0)</f>
        <v>1</v>
      </c>
      <c r="T127">
        <f>SUM(Analiza_wRankingach[[#This Row],[THE]:[Webometrics]])</f>
        <v>1</v>
      </c>
      <c r="U127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250</v>
      </c>
      <c r="V127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250</v>
      </c>
      <c r="W127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250</v>
      </c>
      <c r="X127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70</v>
      </c>
      <c r="Y127">
        <f>SUM(Analiza_wRankingach[[#This Row],[THE_RV1000]:[Webometrics_RV1000]])</f>
        <v>820</v>
      </c>
      <c r="Z127">
        <f>SUMIFS(StandardName[RankValueInTheRanking],StandardName[StandardizedName],Analiza_wRankingach[[#This Row],[Nazwa uczelni]],StandardName[Ranking],"=THE")</f>
        <v>0</v>
      </c>
      <c r="AA127">
        <f>SUMIFS(StandardName[RankValueInTheRanking],StandardName[StandardizedName],Analiza_wRankingach[[#This Row],[Nazwa uczelni]],StandardName[Ranking],"=ARWU")</f>
        <v>0</v>
      </c>
      <c r="AB127">
        <f>SUMIFS(StandardName[RankValueInTheRanking],StandardName[StandardizedName],Analiza_wRankingach[[#This Row],[Nazwa uczelni]],StandardName[Ranking],"=QS")</f>
        <v>0</v>
      </c>
      <c r="AC127">
        <f>SUMIFS(StandardName[RankValueInTheRanking],StandardName[StandardizedName],Analiza_wRankingach[[#This Row],[Nazwa uczelni]],StandardName[Ranking],"=Webometrics")</f>
        <v>70</v>
      </c>
      <c r="AD127">
        <f>SUMIFS(StandardName[IDinTheRanking],StandardName[StandardizedName],Analiza_wRankingach[[#This Row],[Nazwa uczelni]],StandardName[Ranking],"=THE")</f>
        <v>0</v>
      </c>
      <c r="AE127">
        <f>SUMIFS(StandardName[IDinTheRanking],StandardName[StandardizedName],Analiza_wRankingach[[#This Row],[Nazwa uczelni]],StandardName[Ranking],"=ARWU")</f>
        <v>0</v>
      </c>
      <c r="AF127">
        <f>SUMIFS(StandardName[IDinTheRanking],StandardName[StandardizedName],Analiza_wRankingach[[#This Row],[Nazwa uczelni]],StandardName[Ranking],"=QS")</f>
        <v>0</v>
      </c>
      <c r="AG127">
        <f>SUMIFS(StandardName[IDinTheRanking],StandardName[StandardizedName],Analiza_wRankingach[[#This Row],[Nazwa uczelni]],StandardName[Ranking],"=Webometrics")</f>
        <v>70</v>
      </c>
      <c r="AH127">
        <f>SUM(Analiza_wRankingach[[#This Row],[THE_ID]:[Webometrics_ID]])</f>
        <v>70</v>
      </c>
      <c r="AI127" t="str">
        <f>IF(Analiza_wRankingach[[#This Row],[LiczbaWystąpień]]&gt;=T128,"OK","UWAGA")</f>
        <v>OK</v>
      </c>
    </row>
    <row r="128" spans="1:35" x14ac:dyDescent="0.45">
      <c r="A128">
        <v>126</v>
      </c>
      <c r="B128" t="str">
        <f>Analiza_wRankingach[[#This Row],[Nazwa uczelni]]</f>
        <v>Universiti Malaya (UM)</v>
      </c>
      <c r="C128">
        <f>Analiza_wRankingach[[#This Row],[WartośćKontrolna]]</f>
        <v>820</v>
      </c>
      <c r="D128">
        <f>Analiza_wRankingach[[#This Row],[THE_RV]]</f>
        <v>0</v>
      </c>
      <c r="E128">
        <f>Analiza_wRankingach[[#This Row],[ARWU_RV]]</f>
        <v>0</v>
      </c>
      <c r="F128">
        <f>Analiza_wRankingach[[#This Row],[QS_RV]]</f>
        <v>70</v>
      </c>
      <c r="G128">
        <f>Analiza_wRankingach[[#This Row],[Webometrics_RV]]</f>
        <v>0</v>
      </c>
      <c r="I128" t="s">
        <v>663</v>
      </c>
      <c r="J128">
        <v>26</v>
      </c>
      <c r="K128" t="s">
        <v>663</v>
      </c>
      <c r="L128">
        <v>26</v>
      </c>
      <c r="M128" t="s">
        <v>849</v>
      </c>
      <c r="O128" t="s">
        <v>725</v>
      </c>
      <c r="P128">
        <f>IF(SUMIFS(StandardName[IDinTheRanking],StandardName[StandardizedName],Analiza_wRankingach[[#This Row],[Nazwa uczelni]],StandardName[Ranking],"=THE")&gt;0,1,0)</f>
        <v>0</v>
      </c>
      <c r="Q128">
        <f>IF(SUMIFS(StandardName[IDinTheRanking],StandardName[StandardizedName],Analiza_wRankingach[[#This Row],[Nazwa uczelni]],StandardName[Ranking],"=ARWU")&gt;0,1,0)</f>
        <v>0</v>
      </c>
      <c r="R128">
        <f>IF(SUMIFS(StandardName[IDinTheRanking],StandardName[StandardizedName],Analiza_wRankingach[[#This Row],[Nazwa uczelni]],StandardName[Ranking],"=QS")&gt;0,1,0)</f>
        <v>1</v>
      </c>
      <c r="S128">
        <f>IF(SUMIFS(StandardName[IDinTheRanking],StandardName[StandardizedName],Analiza_wRankingach[[#This Row],[Nazwa uczelni]],StandardName[Ranking],"=Webometrics")&gt;0,1,0)</f>
        <v>0</v>
      </c>
      <c r="T128">
        <f>SUM(Analiza_wRankingach[[#This Row],[THE]:[Webometrics]])</f>
        <v>1</v>
      </c>
      <c r="U128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250</v>
      </c>
      <c r="V128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250</v>
      </c>
      <c r="W128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70</v>
      </c>
      <c r="X128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250</v>
      </c>
      <c r="Y128">
        <f>SUM(Analiza_wRankingach[[#This Row],[THE_RV1000]:[Webometrics_RV1000]])</f>
        <v>820</v>
      </c>
      <c r="Z128">
        <f>SUMIFS(StandardName[RankValueInTheRanking],StandardName[StandardizedName],Analiza_wRankingach[[#This Row],[Nazwa uczelni]],StandardName[Ranking],"=THE")</f>
        <v>0</v>
      </c>
      <c r="AA128">
        <f>SUMIFS(StandardName[RankValueInTheRanking],StandardName[StandardizedName],Analiza_wRankingach[[#This Row],[Nazwa uczelni]],StandardName[Ranking],"=ARWU")</f>
        <v>0</v>
      </c>
      <c r="AB128">
        <f>SUMIFS(StandardName[RankValueInTheRanking],StandardName[StandardizedName],Analiza_wRankingach[[#This Row],[Nazwa uczelni]],StandardName[Ranking],"=QS")</f>
        <v>70</v>
      </c>
      <c r="AC128">
        <f>SUMIFS(StandardName[RankValueInTheRanking],StandardName[StandardizedName],Analiza_wRankingach[[#This Row],[Nazwa uczelni]],StandardName[Ranking],"=Webometrics")</f>
        <v>0</v>
      </c>
      <c r="AD128">
        <f>SUMIFS(StandardName[IDinTheRanking],StandardName[StandardizedName],Analiza_wRankingach[[#This Row],[Nazwa uczelni]],StandardName[Ranking],"=THE")</f>
        <v>0</v>
      </c>
      <c r="AE128">
        <f>SUMIFS(StandardName[IDinTheRanking],StandardName[StandardizedName],Analiza_wRankingach[[#This Row],[Nazwa uczelni]],StandardName[Ranking],"=ARWU")</f>
        <v>0</v>
      </c>
      <c r="AF128">
        <f>SUMIFS(StandardName[IDinTheRanking],StandardName[StandardizedName],Analiza_wRankingach[[#This Row],[Nazwa uczelni]],StandardName[Ranking],"=QS")</f>
        <v>70</v>
      </c>
      <c r="AG128">
        <f>SUMIFS(StandardName[IDinTheRanking],StandardName[StandardizedName],Analiza_wRankingach[[#This Row],[Nazwa uczelni]],StandardName[Ranking],"=Webometrics")</f>
        <v>0</v>
      </c>
      <c r="AH128">
        <f>SUM(Analiza_wRankingach[[#This Row],[THE_ID]:[Webometrics_ID]])</f>
        <v>70</v>
      </c>
      <c r="AI128" t="str">
        <f>IF(Analiza_wRankingach[[#This Row],[LiczbaWystąpień]]&gt;=T129,"OK","UWAGA")</f>
        <v>OK</v>
      </c>
    </row>
    <row r="129" spans="1:35" x14ac:dyDescent="0.45">
      <c r="A129">
        <v>127</v>
      </c>
      <c r="B129" t="str">
        <f>Analiza_wRankingach[[#This Row],[Nazwa uczelni]]</f>
        <v>Heidelberg University</v>
      </c>
      <c r="C129">
        <f>Analiza_wRankingach[[#This Row],[WartośćKontrolna]]</f>
        <v>820</v>
      </c>
      <c r="D129">
        <f>Analiza_wRankingach[[#This Row],[THE_RV]]</f>
        <v>0</v>
      </c>
      <c r="E129">
        <f>Analiza_wRankingach[[#This Row],[ARWU_RV]]</f>
        <v>70</v>
      </c>
      <c r="F129">
        <f>Analiza_wRankingach[[#This Row],[QS_RV]]</f>
        <v>0</v>
      </c>
      <c r="G129">
        <f>Analiza_wRankingach[[#This Row],[Webometrics_RV]]</f>
        <v>0</v>
      </c>
      <c r="I129" t="s">
        <v>666</v>
      </c>
      <c r="J129">
        <v>27</v>
      </c>
      <c r="K129" t="s">
        <v>792</v>
      </c>
      <c r="L129">
        <v>27</v>
      </c>
      <c r="M129" t="s">
        <v>849</v>
      </c>
      <c r="O129" t="s">
        <v>600</v>
      </c>
      <c r="P129">
        <f>IF(SUMIFS(StandardName[IDinTheRanking],StandardName[StandardizedName],Analiza_wRankingach[[#This Row],[Nazwa uczelni]],StandardName[Ranking],"=THE")&gt;0,1,0)</f>
        <v>0</v>
      </c>
      <c r="Q129">
        <f>IF(SUMIFS(StandardName[IDinTheRanking],StandardName[StandardizedName],Analiza_wRankingach[[#This Row],[Nazwa uczelni]],StandardName[Ranking],"=ARWU")&gt;0,1,0)</f>
        <v>1</v>
      </c>
      <c r="R129">
        <f>IF(SUMIFS(StandardName[IDinTheRanking],StandardName[StandardizedName],Analiza_wRankingach[[#This Row],[Nazwa uczelni]],StandardName[Ranking],"=QS")&gt;0,1,0)</f>
        <v>0</v>
      </c>
      <c r="S129">
        <f>IF(SUMIFS(StandardName[IDinTheRanking],StandardName[StandardizedName],Analiza_wRankingach[[#This Row],[Nazwa uczelni]],StandardName[Ranking],"=Webometrics")&gt;0,1,0)</f>
        <v>0</v>
      </c>
      <c r="T129">
        <f>SUM(Analiza_wRankingach[[#This Row],[THE]:[Webometrics]])</f>
        <v>1</v>
      </c>
      <c r="U129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250</v>
      </c>
      <c r="V129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70</v>
      </c>
      <c r="W129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250</v>
      </c>
      <c r="X129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250</v>
      </c>
      <c r="Y129">
        <f>SUM(Analiza_wRankingach[[#This Row],[THE_RV1000]:[Webometrics_RV1000]])</f>
        <v>820</v>
      </c>
      <c r="Z129">
        <f>SUMIFS(StandardName[RankValueInTheRanking],StandardName[StandardizedName],Analiza_wRankingach[[#This Row],[Nazwa uczelni]],StandardName[Ranking],"=THE")</f>
        <v>0</v>
      </c>
      <c r="AA129">
        <f>SUMIFS(StandardName[RankValueInTheRanking],StandardName[StandardizedName],Analiza_wRankingach[[#This Row],[Nazwa uczelni]],StandardName[Ranking],"=ARWU")</f>
        <v>70</v>
      </c>
      <c r="AB129">
        <f>SUMIFS(StandardName[RankValueInTheRanking],StandardName[StandardizedName],Analiza_wRankingach[[#This Row],[Nazwa uczelni]],StandardName[Ranking],"=QS")</f>
        <v>0</v>
      </c>
      <c r="AC129">
        <f>SUMIFS(StandardName[RankValueInTheRanking],StandardName[StandardizedName],Analiza_wRankingach[[#This Row],[Nazwa uczelni]],StandardName[Ranking],"=Webometrics")</f>
        <v>0</v>
      </c>
      <c r="AD129">
        <f>SUMIFS(StandardName[IDinTheRanking],StandardName[StandardizedName],Analiza_wRankingach[[#This Row],[Nazwa uczelni]],StandardName[Ranking],"=THE")</f>
        <v>0</v>
      </c>
      <c r="AE129">
        <f>SUMIFS(StandardName[IDinTheRanking],StandardName[StandardizedName],Analiza_wRankingach[[#This Row],[Nazwa uczelni]],StandardName[Ranking],"=ARWU")</f>
        <v>70</v>
      </c>
      <c r="AF129">
        <f>SUMIFS(StandardName[IDinTheRanking],StandardName[StandardizedName],Analiza_wRankingach[[#This Row],[Nazwa uczelni]],StandardName[Ranking],"=QS")</f>
        <v>0</v>
      </c>
      <c r="AG129">
        <f>SUMIFS(StandardName[IDinTheRanking],StandardName[StandardizedName],Analiza_wRankingach[[#This Row],[Nazwa uczelni]],StandardName[Ranking],"=Webometrics")</f>
        <v>0</v>
      </c>
      <c r="AH129">
        <f>SUM(Analiza_wRankingach[[#This Row],[THE_ID]:[Webometrics_ID]])</f>
        <v>70</v>
      </c>
      <c r="AI129" t="str">
        <f>IF(Analiza_wRankingach[[#This Row],[LiczbaWystąpień]]&gt;=T130,"OK","UWAGA")</f>
        <v>OK</v>
      </c>
    </row>
    <row r="130" spans="1:35" x14ac:dyDescent="0.45">
      <c r="A130">
        <v>128</v>
      </c>
      <c r="B130" t="str">
        <f>Analiza_wRankingach[[#This Row],[Nazwa uczelni]]</f>
        <v>Pohang University of Science And Technology (POSTECH)</v>
      </c>
      <c r="C130">
        <f>Analiza_wRankingach[[#This Row],[WartośćKontrolna]]</f>
        <v>821</v>
      </c>
      <c r="D130">
        <f>Analiza_wRankingach[[#This Row],[THE_RV]]</f>
        <v>0</v>
      </c>
      <c r="E130">
        <f>Analiza_wRankingach[[#This Row],[ARWU_RV]]</f>
        <v>0</v>
      </c>
      <c r="F130">
        <f>Analiza_wRankingach[[#This Row],[QS_RV]]</f>
        <v>71</v>
      </c>
      <c r="G130">
        <f>Analiza_wRankingach[[#This Row],[Webometrics_RV]]</f>
        <v>0</v>
      </c>
      <c r="I130" t="s">
        <v>543</v>
      </c>
      <c r="J130">
        <v>28</v>
      </c>
      <c r="K130" t="s">
        <v>296</v>
      </c>
      <c r="L130">
        <v>28</v>
      </c>
      <c r="M130" t="s">
        <v>849</v>
      </c>
      <c r="O130" t="s">
        <v>728</v>
      </c>
      <c r="P130">
        <f>IF(SUMIFS(StandardName[IDinTheRanking],StandardName[StandardizedName],Analiza_wRankingach[[#This Row],[Nazwa uczelni]],StandardName[Ranking],"=THE")&gt;0,1,0)</f>
        <v>0</v>
      </c>
      <c r="Q130">
        <f>IF(SUMIFS(StandardName[IDinTheRanking],StandardName[StandardizedName],Analiza_wRankingach[[#This Row],[Nazwa uczelni]],StandardName[Ranking],"=ARWU")&gt;0,1,0)</f>
        <v>0</v>
      </c>
      <c r="R130">
        <f>IF(SUMIFS(StandardName[IDinTheRanking],StandardName[StandardizedName],Analiza_wRankingach[[#This Row],[Nazwa uczelni]],StandardName[Ranking],"=QS")&gt;0,1,0)</f>
        <v>1</v>
      </c>
      <c r="S130">
        <f>IF(SUMIFS(StandardName[IDinTheRanking],StandardName[StandardizedName],Analiza_wRankingach[[#This Row],[Nazwa uczelni]],StandardName[Ranking],"=Webometrics")&gt;0,1,0)</f>
        <v>0</v>
      </c>
      <c r="T130">
        <f>SUM(Analiza_wRankingach[[#This Row],[THE]:[Webometrics]])</f>
        <v>1</v>
      </c>
      <c r="U130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250</v>
      </c>
      <c r="V130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250</v>
      </c>
      <c r="W130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71</v>
      </c>
      <c r="X130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250</v>
      </c>
      <c r="Y130">
        <f>SUM(Analiza_wRankingach[[#This Row],[THE_RV1000]:[Webometrics_RV1000]])</f>
        <v>821</v>
      </c>
      <c r="Z130">
        <f>SUMIFS(StandardName[RankValueInTheRanking],StandardName[StandardizedName],Analiza_wRankingach[[#This Row],[Nazwa uczelni]],StandardName[Ranking],"=THE")</f>
        <v>0</v>
      </c>
      <c r="AA130">
        <f>SUMIFS(StandardName[RankValueInTheRanking],StandardName[StandardizedName],Analiza_wRankingach[[#This Row],[Nazwa uczelni]],StandardName[Ranking],"=ARWU")</f>
        <v>0</v>
      </c>
      <c r="AB130">
        <f>SUMIFS(StandardName[RankValueInTheRanking],StandardName[StandardizedName],Analiza_wRankingach[[#This Row],[Nazwa uczelni]],StandardName[Ranking],"=QS")</f>
        <v>71</v>
      </c>
      <c r="AC130">
        <f>SUMIFS(StandardName[RankValueInTheRanking],StandardName[StandardizedName],Analiza_wRankingach[[#This Row],[Nazwa uczelni]],StandardName[Ranking],"=Webometrics")</f>
        <v>0</v>
      </c>
      <c r="AD130">
        <f>SUMIFS(StandardName[IDinTheRanking],StandardName[StandardizedName],Analiza_wRankingach[[#This Row],[Nazwa uczelni]],StandardName[Ranking],"=THE")</f>
        <v>0</v>
      </c>
      <c r="AE130">
        <f>SUMIFS(StandardName[IDinTheRanking],StandardName[StandardizedName],Analiza_wRankingach[[#This Row],[Nazwa uczelni]],StandardName[Ranking],"=ARWU")</f>
        <v>0</v>
      </c>
      <c r="AF130">
        <f>SUMIFS(StandardName[IDinTheRanking],StandardName[StandardizedName],Analiza_wRankingach[[#This Row],[Nazwa uczelni]],StandardName[Ranking],"=QS")</f>
        <v>71</v>
      </c>
      <c r="AG130">
        <f>SUMIFS(StandardName[IDinTheRanking],StandardName[StandardizedName],Analiza_wRankingach[[#This Row],[Nazwa uczelni]],StandardName[Ranking],"=Webometrics")</f>
        <v>0</v>
      </c>
      <c r="AH130">
        <f>SUM(Analiza_wRankingach[[#This Row],[THE_ID]:[Webometrics_ID]])</f>
        <v>71</v>
      </c>
      <c r="AI130" t="str">
        <f>IF(Analiza_wRankingach[[#This Row],[LiczbaWystąpień]]&gt;=T131,"OK","UWAGA")</f>
        <v>OK</v>
      </c>
    </row>
    <row r="131" spans="1:35" x14ac:dyDescent="0.45">
      <c r="A131">
        <v>129</v>
      </c>
      <c r="B131" t="str">
        <f>Analiza_wRankingach[[#This Row],[Nazwa uczelni]]</f>
        <v>The University of Texas M. D. Anderson Cancer Center</v>
      </c>
      <c r="C131">
        <f>Analiza_wRankingach[[#This Row],[WartośćKontrolna]]</f>
        <v>821</v>
      </c>
      <c r="D131">
        <f>Analiza_wRankingach[[#This Row],[THE_RV]]</f>
        <v>0</v>
      </c>
      <c r="E131">
        <f>Analiza_wRankingach[[#This Row],[ARWU_RV]]</f>
        <v>71</v>
      </c>
      <c r="F131">
        <f>Analiza_wRankingach[[#This Row],[QS_RV]]</f>
        <v>0</v>
      </c>
      <c r="G131">
        <f>Analiza_wRankingach[[#This Row],[Webometrics_RV]]</f>
        <v>0</v>
      </c>
      <c r="I131" t="s">
        <v>306</v>
      </c>
      <c r="J131">
        <v>29</v>
      </c>
      <c r="K131" t="s">
        <v>306</v>
      </c>
      <c r="L131">
        <v>29</v>
      </c>
      <c r="M131" t="s">
        <v>849</v>
      </c>
      <c r="O131" t="s">
        <v>601</v>
      </c>
      <c r="P131">
        <f>IF(SUMIFS(StandardName[IDinTheRanking],StandardName[StandardizedName],Analiza_wRankingach[[#This Row],[Nazwa uczelni]],StandardName[Ranking],"=THE")&gt;0,1,0)</f>
        <v>0</v>
      </c>
      <c r="Q131">
        <f>IF(SUMIFS(StandardName[IDinTheRanking],StandardName[StandardizedName],Analiza_wRankingach[[#This Row],[Nazwa uczelni]],StandardName[Ranking],"=ARWU")&gt;0,1,0)</f>
        <v>1</v>
      </c>
      <c r="R131">
        <f>IF(SUMIFS(StandardName[IDinTheRanking],StandardName[StandardizedName],Analiza_wRankingach[[#This Row],[Nazwa uczelni]],StandardName[Ranking],"=QS")&gt;0,1,0)</f>
        <v>0</v>
      </c>
      <c r="S131">
        <f>IF(SUMIFS(StandardName[IDinTheRanking],StandardName[StandardizedName],Analiza_wRankingach[[#This Row],[Nazwa uczelni]],StandardName[Ranking],"=Webometrics")&gt;0,1,0)</f>
        <v>0</v>
      </c>
      <c r="T131">
        <f>SUM(Analiza_wRankingach[[#This Row],[THE]:[Webometrics]])</f>
        <v>1</v>
      </c>
      <c r="U131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250</v>
      </c>
      <c r="V131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71</v>
      </c>
      <c r="W131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250</v>
      </c>
      <c r="X131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250</v>
      </c>
      <c r="Y131">
        <f>SUM(Analiza_wRankingach[[#This Row],[THE_RV1000]:[Webometrics_RV1000]])</f>
        <v>821</v>
      </c>
      <c r="Z131">
        <f>SUMIFS(StandardName[RankValueInTheRanking],StandardName[StandardizedName],Analiza_wRankingach[[#This Row],[Nazwa uczelni]],StandardName[Ranking],"=THE")</f>
        <v>0</v>
      </c>
      <c r="AA131">
        <f>SUMIFS(StandardName[RankValueInTheRanking],StandardName[StandardizedName],Analiza_wRankingach[[#This Row],[Nazwa uczelni]],StandardName[Ranking],"=ARWU")</f>
        <v>71</v>
      </c>
      <c r="AB131">
        <f>SUMIFS(StandardName[RankValueInTheRanking],StandardName[StandardizedName],Analiza_wRankingach[[#This Row],[Nazwa uczelni]],StandardName[Ranking],"=QS")</f>
        <v>0</v>
      </c>
      <c r="AC131">
        <f>SUMIFS(StandardName[RankValueInTheRanking],StandardName[StandardizedName],Analiza_wRankingach[[#This Row],[Nazwa uczelni]],StandardName[Ranking],"=Webometrics")</f>
        <v>0</v>
      </c>
      <c r="AD131">
        <f>SUMIFS(StandardName[IDinTheRanking],StandardName[StandardizedName],Analiza_wRankingach[[#This Row],[Nazwa uczelni]],StandardName[Ranking],"=THE")</f>
        <v>0</v>
      </c>
      <c r="AE131">
        <f>SUMIFS(StandardName[IDinTheRanking],StandardName[StandardizedName],Analiza_wRankingach[[#This Row],[Nazwa uczelni]],StandardName[Ranking],"=ARWU")</f>
        <v>72</v>
      </c>
      <c r="AF131">
        <f>SUMIFS(StandardName[IDinTheRanking],StandardName[StandardizedName],Analiza_wRankingach[[#This Row],[Nazwa uczelni]],StandardName[Ranking],"=QS")</f>
        <v>0</v>
      </c>
      <c r="AG131">
        <f>SUMIFS(StandardName[IDinTheRanking],StandardName[StandardizedName],Analiza_wRankingach[[#This Row],[Nazwa uczelni]],StandardName[Ranking],"=Webometrics")</f>
        <v>0</v>
      </c>
      <c r="AH131">
        <f>SUM(Analiza_wRankingach[[#This Row],[THE_ID]:[Webometrics_ID]])</f>
        <v>72</v>
      </c>
      <c r="AI131" t="str">
        <f>IF(Analiza_wRankingach[[#This Row],[LiczbaWystąpień]]&gt;=T132,"OK","UWAGA")</f>
        <v>OK</v>
      </c>
    </row>
    <row r="132" spans="1:35" x14ac:dyDescent="0.45">
      <c r="A132">
        <v>130</v>
      </c>
      <c r="B132" t="str">
        <f>Analiza_wRankingach[[#This Row],[Nazwa uczelni]]</f>
        <v>Charité - Universitätsmedizin Berlin</v>
      </c>
      <c r="C132">
        <f>Analiza_wRankingach[[#This Row],[WartośćKontrolna]]</f>
        <v>823</v>
      </c>
      <c r="D132">
        <f>Analiza_wRankingach[[#This Row],[THE_RV]]</f>
        <v>73</v>
      </c>
      <c r="E132">
        <f>Analiza_wRankingach[[#This Row],[ARWU_RV]]</f>
        <v>0</v>
      </c>
      <c r="F132">
        <f>Analiza_wRankingach[[#This Row],[QS_RV]]</f>
        <v>0</v>
      </c>
      <c r="G132">
        <f>Analiza_wRankingach[[#This Row],[Webometrics_RV]]</f>
        <v>0</v>
      </c>
      <c r="I132" t="s">
        <v>671</v>
      </c>
      <c r="J132">
        <v>30</v>
      </c>
      <c r="K132" t="s">
        <v>337</v>
      </c>
      <c r="L132">
        <v>30</v>
      </c>
      <c r="M132" t="s">
        <v>849</v>
      </c>
      <c r="O132" t="s">
        <v>381</v>
      </c>
      <c r="P132">
        <f>IF(SUMIFS(StandardName[IDinTheRanking],StandardName[StandardizedName],Analiza_wRankingach[[#This Row],[Nazwa uczelni]],StandardName[Ranking],"=THE")&gt;0,1,0)</f>
        <v>1</v>
      </c>
      <c r="Q132">
        <f>IF(SUMIFS(StandardName[IDinTheRanking],StandardName[StandardizedName],Analiza_wRankingach[[#This Row],[Nazwa uczelni]],StandardName[Ranking],"=ARWU")&gt;0,1,0)</f>
        <v>0</v>
      </c>
      <c r="R132">
        <f>IF(SUMIFS(StandardName[IDinTheRanking],StandardName[StandardizedName],Analiza_wRankingach[[#This Row],[Nazwa uczelni]],StandardName[Ranking],"=QS")&gt;0,1,0)</f>
        <v>0</v>
      </c>
      <c r="S132">
        <f>IF(SUMIFS(StandardName[IDinTheRanking],StandardName[StandardizedName],Analiza_wRankingach[[#This Row],[Nazwa uczelni]],StandardName[Ranking],"=Webometrics")&gt;0,1,0)</f>
        <v>0</v>
      </c>
      <c r="T132">
        <f>SUM(Analiza_wRankingach[[#This Row],[THE]:[Webometrics]])</f>
        <v>1</v>
      </c>
      <c r="U132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73</v>
      </c>
      <c r="V132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250</v>
      </c>
      <c r="W132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250</v>
      </c>
      <c r="X132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250</v>
      </c>
      <c r="Y132">
        <f>SUM(Analiza_wRankingach[[#This Row],[THE_RV1000]:[Webometrics_RV1000]])</f>
        <v>823</v>
      </c>
      <c r="Z132">
        <f>SUMIFS(StandardName[RankValueInTheRanking],StandardName[StandardizedName],Analiza_wRankingach[[#This Row],[Nazwa uczelni]],StandardName[Ranking],"=THE")</f>
        <v>73</v>
      </c>
      <c r="AA132">
        <f>SUMIFS(StandardName[RankValueInTheRanking],StandardName[StandardizedName],Analiza_wRankingach[[#This Row],[Nazwa uczelni]],StandardName[Ranking],"=ARWU")</f>
        <v>0</v>
      </c>
      <c r="AB132">
        <f>SUMIFS(StandardName[RankValueInTheRanking],StandardName[StandardizedName],Analiza_wRankingach[[#This Row],[Nazwa uczelni]],StandardName[Ranking],"=QS")</f>
        <v>0</v>
      </c>
      <c r="AC132">
        <f>SUMIFS(StandardName[RankValueInTheRanking],StandardName[StandardizedName],Analiza_wRankingach[[#This Row],[Nazwa uczelni]],StandardName[Ranking],"=Webometrics")</f>
        <v>0</v>
      </c>
      <c r="AD132">
        <f>SUMIFS(StandardName[IDinTheRanking],StandardName[StandardizedName],Analiza_wRankingach[[#This Row],[Nazwa uczelni]],StandardName[Ranking],"=THE")</f>
        <v>73</v>
      </c>
      <c r="AE132">
        <f>SUMIFS(StandardName[IDinTheRanking],StandardName[StandardizedName],Analiza_wRankingach[[#This Row],[Nazwa uczelni]],StandardName[Ranking],"=ARWU")</f>
        <v>0</v>
      </c>
      <c r="AF132">
        <f>SUMIFS(StandardName[IDinTheRanking],StandardName[StandardizedName],Analiza_wRankingach[[#This Row],[Nazwa uczelni]],StandardName[Ranking],"=QS")</f>
        <v>0</v>
      </c>
      <c r="AG132">
        <f>SUMIFS(StandardName[IDinTheRanking],StandardName[StandardizedName],Analiza_wRankingach[[#This Row],[Nazwa uczelni]],StandardName[Ranking],"=Webometrics")</f>
        <v>0</v>
      </c>
      <c r="AH132">
        <f>SUM(Analiza_wRankingach[[#This Row],[THE_ID]:[Webometrics_ID]])</f>
        <v>73</v>
      </c>
      <c r="AI132" t="str">
        <f>IF(Analiza_wRankingach[[#This Row],[LiczbaWystąpień]]&gt;=T133,"OK","UWAGA")</f>
        <v>OK</v>
      </c>
    </row>
    <row r="133" spans="1:35" x14ac:dyDescent="0.45">
      <c r="A133">
        <v>131</v>
      </c>
      <c r="B133" t="str">
        <f>Analiza_wRankingach[[#This Row],[Nazwa uczelni]]</f>
        <v>Korea University</v>
      </c>
      <c r="C133">
        <f>Analiza_wRankingach[[#This Row],[WartośćKontrolna]]</f>
        <v>824</v>
      </c>
      <c r="D133">
        <f>Analiza_wRankingach[[#This Row],[THE_RV]]</f>
        <v>0</v>
      </c>
      <c r="E133">
        <f>Analiza_wRankingach[[#This Row],[ARWU_RV]]</f>
        <v>0</v>
      </c>
      <c r="F133">
        <f>Analiza_wRankingach[[#This Row],[QS_RV]]</f>
        <v>74</v>
      </c>
      <c r="G133">
        <f>Analiza_wRankingach[[#This Row],[Webometrics_RV]]</f>
        <v>0</v>
      </c>
      <c r="I133" t="s">
        <v>253</v>
      </c>
      <c r="J133">
        <v>31</v>
      </c>
      <c r="K133" t="s">
        <v>253</v>
      </c>
      <c r="L133">
        <v>31</v>
      </c>
      <c r="M133" t="s">
        <v>849</v>
      </c>
      <c r="O133" t="s">
        <v>733</v>
      </c>
      <c r="P133">
        <f>IF(SUMIFS(StandardName[IDinTheRanking],StandardName[StandardizedName],Analiza_wRankingach[[#This Row],[Nazwa uczelni]],StandardName[Ranking],"=THE")&gt;0,1,0)</f>
        <v>0</v>
      </c>
      <c r="Q133">
        <f>IF(SUMIFS(StandardName[IDinTheRanking],StandardName[StandardizedName],Analiza_wRankingach[[#This Row],[Nazwa uczelni]],StandardName[Ranking],"=ARWU")&gt;0,1,0)</f>
        <v>0</v>
      </c>
      <c r="R133">
        <f>IF(SUMIFS(StandardName[IDinTheRanking],StandardName[StandardizedName],Analiza_wRankingach[[#This Row],[Nazwa uczelni]],StandardName[Ranking],"=QS")&gt;0,1,0)</f>
        <v>1</v>
      </c>
      <c r="S133">
        <f>IF(SUMIFS(StandardName[IDinTheRanking],StandardName[StandardizedName],Analiza_wRankingach[[#This Row],[Nazwa uczelni]],StandardName[Ranking],"=Webometrics")&gt;0,1,0)</f>
        <v>0</v>
      </c>
      <c r="T133">
        <f>SUM(Analiza_wRankingach[[#This Row],[THE]:[Webometrics]])</f>
        <v>1</v>
      </c>
      <c r="U133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250</v>
      </c>
      <c r="V133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250</v>
      </c>
      <c r="W133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74</v>
      </c>
      <c r="X133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250</v>
      </c>
      <c r="Y133">
        <f>SUM(Analiza_wRankingach[[#This Row],[THE_RV1000]:[Webometrics_RV1000]])</f>
        <v>824</v>
      </c>
      <c r="Z133">
        <f>SUMIFS(StandardName[RankValueInTheRanking],StandardName[StandardizedName],Analiza_wRankingach[[#This Row],[Nazwa uczelni]],StandardName[Ranking],"=THE")</f>
        <v>0</v>
      </c>
      <c r="AA133">
        <f>SUMIFS(StandardName[RankValueInTheRanking],StandardName[StandardizedName],Analiza_wRankingach[[#This Row],[Nazwa uczelni]],StandardName[Ranking],"=ARWU")</f>
        <v>0</v>
      </c>
      <c r="AB133">
        <f>SUMIFS(StandardName[RankValueInTheRanking],StandardName[StandardizedName],Analiza_wRankingach[[#This Row],[Nazwa uczelni]],StandardName[Ranking],"=QS")</f>
        <v>74</v>
      </c>
      <c r="AC133">
        <f>SUMIFS(StandardName[RankValueInTheRanking],StandardName[StandardizedName],Analiza_wRankingach[[#This Row],[Nazwa uczelni]],StandardName[Ranking],"=Webometrics")</f>
        <v>0</v>
      </c>
      <c r="AD133">
        <f>SUMIFS(StandardName[IDinTheRanking],StandardName[StandardizedName],Analiza_wRankingach[[#This Row],[Nazwa uczelni]],StandardName[Ranking],"=THE")</f>
        <v>0</v>
      </c>
      <c r="AE133">
        <f>SUMIFS(StandardName[IDinTheRanking],StandardName[StandardizedName],Analiza_wRankingach[[#This Row],[Nazwa uczelni]],StandardName[Ranking],"=ARWU")</f>
        <v>0</v>
      </c>
      <c r="AF133">
        <f>SUMIFS(StandardName[IDinTheRanking],StandardName[StandardizedName],Analiza_wRankingach[[#This Row],[Nazwa uczelni]],StandardName[Ranking],"=QS")</f>
        <v>74</v>
      </c>
      <c r="AG133">
        <f>SUMIFS(StandardName[IDinTheRanking],StandardName[StandardizedName],Analiza_wRankingach[[#This Row],[Nazwa uczelni]],StandardName[Ranking],"=Webometrics")</f>
        <v>0</v>
      </c>
      <c r="AH133">
        <f>SUM(Analiza_wRankingach[[#This Row],[THE_ID]:[Webometrics_ID]])</f>
        <v>74</v>
      </c>
      <c r="AI133" t="str">
        <f>IF(Analiza_wRankingach[[#This Row],[LiczbaWystąpień]]&gt;=T134,"OK","UWAGA")</f>
        <v>OK</v>
      </c>
    </row>
    <row r="134" spans="1:35" x14ac:dyDescent="0.45">
      <c r="A134">
        <v>132</v>
      </c>
      <c r="B134" t="str">
        <f>Analiza_wRankingach[[#This Row],[Nazwa uczelni]]</f>
        <v>Ghent University</v>
      </c>
      <c r="C134">
        <f>Analiza_wRankingach[[#This Row],[WartośćKontrolna]]</f>
        <v>824</v>
      </c>
      <c r="D134">
        <f>Analiza_wRankingach[[#This Row],[THE_RV]]</f>
        <v>0</v>
      </c>
      <c r="E134">
        <f>Analiza_wRankingach[[#This Row],[ARWU_RV]]</f>
        <v>74</v>
      </c>
      <c r="F134">
        <f>Analiza_wRankingach[[#This Row],[QS_RV]]</f>
        <v>0</v>
      </c>
      <c r="G134">
        <f>Analiza_wRankingach[[#This Row],[Webometrics_RV]]</f>
        <v>0</v>
      </c>
      <c r="I134" t="s">
        <v>151</v>
      </c>
      <c r="J134">
        <v>32</v>
      </c>
      <c r="K134" t="s">
        <v>151</v>
      </c>
      <c r="L134">
        <v>32</v>
      </c>
      <c r="M134" t="s">
        <v>849</v>
      </c>
      <c r="O134" t="s">
        <v>602</v>
      </c>
      <c r="P134">
        <f>IF(SUMIFS(StandardName[IDinTheRanking],StandardName[StandardizedName],Analiza_wRankingach[[#This Row],[Nazwa uczelni]],StandardName[Ranking],"=THE")&gt;0,1,0)</f>
        <v>0</v>
      </c>
      <c r="Q134">
        <f>IF(SUMIFS(StandardName[IDinTheRanking],StandardName[StandardizedName],Analiza_wRankingach[[#This Row],[Nazwa uczelni]],StandardName[Ranking],"=ARWU")&gt;0,1,0)</f>
        <v>1</v>
      </c>
      <c r="R134">
        <f>IF(SUMIFS(StandardName[IDinTheRanking],StandardName[StandardizedName],Analiza_wRankingach[[#This Row],[Nazwa uczelni]],StandardName[Ranking],"=QS")&gt;0,1,0)</f>
        <v>0</v>
      </c>
      <c r="S134">
        <f>IF(SUMIFS(StandardName[IDinTheRanking],StandardName[StandardizedName],Analiza_wRankingach[[#This Row],[Nazwa uczelni]],StandardName[Ranking],"=Webometrics")&gt;0,1,0)</f>
        <v>0</v>
      </c>
      <c r="T134">
        <f>SUM(Analiza_wRankingach[[#This Row],[THE]:[Webometrics]])</f>
        <v>1</v>
      </c>
      <c r="U134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250</v>
      </c>
      <c r="V134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74</v>
      </c>
      <c r="W134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250</v>
      </c>
      <c r="X134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250</v>
      </c>
      <c r="Y134">
        <f>SUM(Analiza_wRankingach[[#This Row],[THE_RV1000]:[Webometrics_RV1000]])</f>
        <v>824</v>
      </c>
      <c r="Z134">
        <f>SUMIFS(StandardName[RankValueInTheRanking],StandardName[StandardizedName],Analiza_wRankingach[[#This Row],[Nazwa uczelni]],StandardName[Ranking],"=THE")</f>
        <v>0</v>
      </c>
      <c r="AA134">
        <f>SUMIFS(StandardName[RankValueInTheRanking],StandardName[StandardizedName],Analiza_wRankingach[[#This Row],[Nazwa uczelni]],StandardName[Ranking],"=ARWU")</f>
        <v>74</v>
      </c>
      <c r="AB134">
        <f>SUMIFS(StandardName[RankValueInTheRanking],StandardName[StandardizedName],Analiza_wRankingach[[#This Row],[Nazwa uczelni]],StandardName[Ranking],"=QS")</f>
        <v>0</v>
      </c>
      <c r="AC134">
        <f>SUMIFS(StandardName[RankValueInTheRanking],StandardName[StandardizedName],Analiza_wRankingach[[#This Row],[Nazwa uczelni]],StandardName[Ranking],"=Webometrics")</f>
        <v>0</v>
      </c>
      <c r="AD134">
        <f>SUMIFS(StandardName[IDinTheRanking],StandardName[StandardizedName],Analiza_wRankingach[[#This Row],[Nazwa uczelni]],StandardName[Ranking],"=THE")</f>
        <v>0</v>
      </c>
      <c r="AE134">
        <f>SUMIFS(StandardName[IDinTheRanking],StandardName[StandardizedName],Analiza_wRankingach[[#This Row],[Nazwa uczelni]],StandardName[Ranking],"=ARWU")</f>
        <v>74</v>
      </c>
      <c r="AF134">
        <f>SUMIFS(StandardName[IDinTheRanking],StandardName[StandardizedName],Analiza_wRankingach[[#This Row],[Nazwa uczelni]],StandardName[Ranking],"=QS")</f>
        <v>0</v>
      </c>
      <c r="AG134">
        <f>SUMIFS(StandardName[IDinTheRanking],StandardName[StandardizedName],Analiza_wRankingach[[#This Row],[Nazwa uczelni]],StandardName[Ranking],"=Webometrics")</f>
        <v>0</v>
      </c>
      <c r="AH134">
        <f>SUM(Analiza_wRankingach[[#This Row],[THE_ID]:[Webometrics_ID]])</f>
        <v>74</v>
      </c>
      <c r="AI134" t="str">
        <f>IF(Analiza_wRankingach[[#This Row],[LiczbaWystąpień]]&gt;=T135,"OK","UWAGA")</f>
        <v>OK</v>
      </c>
    </row>
    <row r="135" spans="1:35" x14ac:dyDescent="0.45">
      <c r="A135">
        <v>133</v>
      </c>
      <c r="B135" t="str">
        <f>Analiza_wRankingach[[#This Row],[Nazwa uczelni]]</f>
        <v>Lomonosov Moscow State University</v>
      </c>
      <c r="C135">
        <f>Analiza_wRankingach[[#This Row],[WartośćKontrolna]]</f>
        <v>825</v>
      </c>
      <c r="D135">
        <f>Analiza_wRankingach[[#This Row],[THE_RV]]</f>
        <v>0</v>
      </c>
      <c r="E135">
        <f>Analiza_wRankingach[[#This Row],[ARWU_RV]]</f>
        <v>0</v>
      </c>
      <c r="F135">
        <f>Analiza_wRankingach[[#This Row],[QS_RV]]</f>
        <v>75</v>
      </c>
      <c r="G135">
        <f>Analiza_wRankingach[[#This Row],[Webometrics_RV]]</f>
        <v>0</v>
      </c>
      <c r="I135" t="s">
        <v>533</v>
      </c>
      <c r="J135">
        <v>33</v>
      </c>
      <c r="K135" t="s">
        <v>194</v>
      </c>
      <c r="L135">
        <v>33</v>
      </c>
      <c r="M135" t="s">
        <v>849</v>
      </c>
      <c r="O135" t="s">
        <v>734</v>
      </c>
      <c r="P135">
        <f>IF(SUMIFS(StandardName[IDinTheRanking],StandardName[StandardizedName],Analiza_wRankingach[[#This Row],[Nazwa uczelni]],StandardName[Ranking],"=THE")&gt;0,1,0)</f>
        <v>0</v>
      </c>
      <c r="Q135">
        <f>IF(SUMIFS(StandardName[IDinTheRanking],StandardName[StandardizedName],Analiza_wRankingach[[#This Row],[Nazwa uczelni]],StandardName[Ranking],"=ARWU")&gt;0,1,0)</f>
        <v>0</v>
      </c>
      <c r="R135">
        <f>IF(SUMIFS(StandardName[IDinTheRanking],StandardName[StandardizedName],Analiza_wRankingach[[#This Row],[Nazwa uczelni]],StandardName[Ranking],"=QS")&gt;0,1,0)</f>
        <v>1</v>
      </c>
      <c r="S135">
        <f>IF(SUMIFS(StandardName[IDinTheRanking],StandardName[StandardizedName],Analiza_wRankingach[[#This Row],[Nazwa uczelni]],StandardName[Ranking],"=Webometrics")&gt;0,1,0)</f>
        <v>0</v>
      </c>
      <c r="T135">
        <f>SUM(Analiza_wRankingach[[#This Row],[THE]:[Webometrics]])</f>
        <v>1</v>
      </c>
      <c r="U135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250</v>
      </c>
      <c r="V135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250</v>
      </c>
      <c r="W135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75</v>
      </c>
      <c r="X135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250</v>
      </c>
      <c r="Y135">
        <f>SUM(Analiza_wRankingach[[#This Row],[THE_RV1000]:[Webometrics_RV1000]])</f>
        <v>825</v>
      </c>
      <c r="Z135">
        <f>SUMIFS(StandardName[RankValueInTheRanking],StandardName[StandardizedName],Analiza_wRankingach[[#This Row],[Nazwa uczelni]],StandardName[Ranking],"=THE")</f>
        <v>0</v>
      </c>
      <c r="AA135">
        <f>SUMIFS(StandardName[RankValueInTheRanking],StandardName[StandardizedName],Analiza_wRankingach[[#This Row],[Nazwa uczelni]],StandardName[Ranking],"=ARWU")</f>
        <v>0</v>
      </c>
      <c r="AB135">
        <f>SUMIFS(StandardName[RankValueInTheRanking],StandardName[StandardizedName],Analiza_wRankingach[[#This Row],[Nazwa uczelni]],StandardName[Ranking],"=QS")</f>
        <v>75</v>
      </c>
      <c r="AC135">
        <f>SUMIFS(StandardName[RankValueInTheRanking],StandardName[StandardizedName],Analiza_wRankingach[[#This Row],[Nazwa uczelni]],StandardName[Ranking],"=Webometrics")</f>
        <v>0</v>
      </c>
      <c r="AD135">
        <f>SUMIFS(StandardName[IDinTheRanking],StandardName[StandardizedName],Analiza_wRankingach[[#This Row],[Nazwa uczelni]],StandardName[Ranking],"=THE")</f>
        <v>0</v>
      </c>
      <c r="AE135">
        <f>SUMIFS(StandardName[IDinTheRanking],StandardName[StandardizedName],Analiza_wRankingach[[#This Row],[Nazwa uczelni]],StandardName[Ranking],"=ARWU")</f>
        <v>0</v>
      </c>
      <c r="AF135">
        <f>SUMIFS(StandardName[IDinTheRanking],StandardName[StandardizedName],Analiza_wRankingach[[#This Row],[Nazwa uczelni]],StandardName[Ranking],"=QS")</f>
        <v>75</v>
      </c>
      <c r="AG135">
        <f>SUMIFS(StandardName[IDinTheRanking],StandardName[StandardizedName],Analiza_wRankingach[[#This Row],[Nazwa uczelni]],StandardName[Ranking],"=Webometrics")</f>
        <v>0</v>
      </c>
      <c r="AH135">
        <f>SUM(Analiza_wRankingach[[#This Row],[THE_ID]:[Webometrics_ID]])</f>
        <v>75</v>
      </c>
      <c r="AI135" t="str">
        <f>IF(Analiza_wRankingach[[#This Row],[LiczbaWystąpień]]&gt;=T136,"OK","UWAGA")</f>
        <v>OK</v>
      </c>
    </row>
    <row r="136" spans="1:35" x14ac:dyDescent="0.45">
      <c r="A136">
        <v>134</v>
      </c>
      <c r="B136" t="str">
        <f>Analiza_wRankingach[[#This Row],[Nazwa uczelni]]</f>
        <v>Leiden University</v>
      </c>
      <c r="C136">
        <f>Analiza_wRankingach[[#This Row],[WartośćKontrolna]]</f>
        <v>827</v>
      </c>
      <c r="D136">
        <f>Analiza_wRankingach[[#This Row],[THE_RV]]</f>
        <v>77</v>
      </c>
      <c r="E136">
        <f>Analiza_wRankingach[[#This Row],[ARWU_RV]]</f>
        <v>0</v>
      </c>
      <c r="F136">
        <f>Analiza_wRankingach[[#This Row],[QS_RV]]</f>
        <v>0</v>
      </c>
      <c r="G136">
        <f>Analiza_wRankingach[[#This Row],[Webometrics_RV]]</f>
        <v>0</v>
      </c>
      <c r="I136" t="s">
        <v>282</v>
      </c>
      <c r="J136">
        <v>34</v>
      </c>
      <c r="K136" t="s">
        <v>282</v>
      </c>
      <c r="L136">
        <v>34</v>
      </c>
      <c r="M136" t="s">
        <v>849</v>
      </c>
      <c r="O136" t="s">
        <v>395</v>
      </c>
      <c r="P136">
        <f>IF(SUMIFS(StandardName[IDinTheRanking],StandardName[StandardizedName],Analiza_wRankingach[[#This Row],[Nazwa uczelni]],StandardName[Ranking],"=THE")&gt;0,1,0)</f>
        <v>1</v>
      </c>
      <c r="Q136">
        <f>IF(SUMIFS(StandardName[IDinTheRanking],StandardName[StandardizedName],Analiza_wRankingach[[#This Row],[Nazwa uczelni]],StandardName[Ranking],"=ARWU")&gt;0,1,0)</f>
        <v>0</v>
      </c>
      <c r="R136">
        <f>IF(SUMIFS(StandardName[IDinTheRanking],StandardName[StandardizedName],Analiza_wRankingach[[#This Row],[Nazwa uczelni]],StandardName[Ranking],"=QS")&gt;0,1,0)</f>
        <v>0</v>
      </c>
      <c r="S136">
        <f>IF(SUMIFS(StandardName[IDinTheRanking],StandardName[StandardizedName],Analiza_wRankingach[[#This Row],[Nazwa uczelni]],StandardName[Ranking],"=Webometrics")&gt;0,1,0)</f>
        <v>0</v>
      </c>
      <c r="T136">
        <f>SUM(Analiza_wRankingach[[#This Row],[THE]:[Webometrics]])</f>
        <v>1</v>
      </c>
      <c r="U136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77</v>
      </c>
      <c r="V136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250</v>
      </c>
      <c r="W136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250</v>
      </c>
      <c r="X136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250</v>
      </c>
      <c r="Y136">
        <f>SUM(Analiza_wRankingach[[#This Row],[THE_RV1000]:[Webometrics_RV1000]])</f>
        <v>827</v>
      </c>
      <c r="Z136">
        <f>SUMIFS(StandardName[RankValueInTheRanking],StandardName[StandardizedName],Analiza_wRankingach[[#This Row],[Nazwa uczelni]],StandardName[Ranking],"=THE")</f>
        <v>77</v>
      </c>
      <c r="AA136">
        <f>SUMIFS(StandardName[RankValueInTheRanking],StandardName[StandardizedName],Analiza_wRankingach[[#This Row],[Nazwa uczelni]],StandardName[Ranking],"=ARWU")</f>
        <v>0</v>
      </c>
      <c r="AB136">
        <f>SUMIFS(StandardName[RankValueInTheRanking],StandardName[StandardizedName],Analiza_wRankingach[[#This Row],[Nazwa uczelni]],StandardName[Ranking],"=QS")</f>
        <v>0</v>
      </c>
      <c r="AC136">
        <f>SUMIFS(StandardName[RankValueInTheRanking],StandardName[StandardizedName],Analiza_wRankingach[[#This Row],[Nazwa uczelni]],StandardName[Ranking],"=Webometrics")</f>
        <v>0</v>
      </c>
      <c r="AD136">
        <f>SUMIFS(StandardName[IDinTheRanking],StandardName[StandardizedName],Analiza_wRankingach[[#This Row],[Nazwa uczelni]],StandardName[Ranking],"=THE")</f>
        <v>77</v>
      </c>
      <c r="AE136">
        <f>SUMIFS(StandardName[IDinTheRanking],StandardName[StandardizedName],Analiza_wRankingach[[#This Row],[Nazwa uczelni]],StandardName[Ranking],"=ARWU")</f>
        <v>0</v>
      </c>
      <c r="AF136">
        <f>SUMIFS(StandardName[IDinTheRanking],StandardName[StandardizedName],Analiza_wRankingach[[#This Row],[Nazwa uczelni]],StandardName[Ranking],"=QS")</f>
        <v>0</v>
      </c>
      <c r="AG136">
        <f>SUMIFS(StandardName[IDinTheRanking],StandardName[StandardizedName],Analiza_wRankingach[[#This Row],[Nazwa uczelni]],StandardName[Ranking],"=Webometrics")</f>
        <v>0</v>
      </c>
      <c r="AH136">
        <f>SUM(Analiza_wRankingach[[#This Row],[THE_ID]:[Webometrics_ID]])</f>
        <v>77</v>
      </c>
      <c r="AI136" t="str">
        <f>IF(Analiza_wRankingach[[#This Row],[LiczbaWystąpień]]&gt;=T137,"OK","UWAGA")</f>
        <v>OK</v>
      </c>
    </row>
    <row r="137" spans="1:35" x14ac:dyDescent="0.45">
      <c r="A137">
        <v>135</v>
      </c>
      <c r="B137" t="str">
        <f>Analiza_wRankingach[[#This Row],[Nazwa uczelni]]</f>
        <v>National Taiwan University (NTU)</v>
      </c>
      <c r="C137">
        <f>Analiza_wRankingach[[#This Row],[WartośćKontrolna]]</f>
        <v>827</v>
      </c>
      <c r="D137">
        <f>Analiza_wRankingach[[#This Row],[THE_RV]]</f>
        <v>0</v>
      </c>
      <c r="E137">
        <f>Analiza_wRankingach[[#This Row],[ARWU_RV]]</f>
        <v>0</v>
      </c>
      <c r="F137">
        <f>Analiza_wRankingach[[#This Row],[QS_RV]]</f>
        <v>77</v>
      </c>
      <c r="G137">
        <f>Analiza_wRankingach[[#This Row],[Webometrics_RV]]</f>
        <v>0</v>
      </c>
      <c r="I137" t="s">
        <v>102</v>
      </c>
      <c r="J137">
        <v>35</v>
      </c>
      <c r="K137" t="s">
        <v>102</v>
      </c>
      <c r="L137">
        <v>34</v>
      </c>
      <c r="M137" t="s">
        <v>849</v>
      </c>
      <c r="O137" t="s">
        <v>738</v>
      </c>
      <c r="P137">
        <f>IF(SUMIFS(StandardName[IDinTheRanking],StandardName[StandardizedName],Analiza_wRankingach[[#This Row],[Nazwa uczelni]],StandardName[Ranking],"=THE")&gt;0,1,0)</f>
        <v>0</v>
      </c>
      <c r="Q137">
        <f>IF(SUMIFS(StandardName[IDinTheRanking],StandardName[StandardizedName],Analiza_wRankingach[[#This Row],[Nazwa uczelni]],StandardName[Ranking],"=ARWU")&gt;0,1,0)</f>
        <v>0</v>
      </c>
      <c r="R137">
        <f>IF(SUMIFS(StandardName[IDinTheRanking],StandardName[StandardizedName],Analiza_wRankingach[[#This Row],[Nazwa uczelni]],StandardName[Ranking],"=QS")&gt;0,1,0)</f>
        <v>1</v>
      </c>
      <c r="S137">
        <f>IF(SUMIFS(StandardName[IDinTheRanking],StandardName[StandardizedName],Analiza_wRankingach[[#This Row],[Nazwa uczelni]],StandardName[Ranking],"=Webometrics")&gt;0,1,0)</f>
        <v>0</v>
      </c>
      <c r="T137">
        <f>SUM(Analiza_wRankingach[[#This Row],[THE]:[Webometrics]])</f>
        <v>1</v>
      </c>
      <c r="U137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250</v>
      </c>
      <c r="V137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250</v>
      </c>
      <c r="W137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77</v>
      </c>
      <c r="X137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250</v>
      </c>
      <c r="Y137">
        <f>SUM(Analiza_wRankingach[[#This Row],[THE_RV1000]:[Webometrics_RV1000]])</f>
        <v>827</v>
      </c>
      <c r="Z137">
        <f>SUMIFS(StandardName[RankValueInTheRanking],StandardName[StandardizedName],Analiza_wRankingach[[#This Row],[Nazwa uczelni]],StandardName[Ranking],"=THE")</f>
        <v>0</v>
      </c>
      <c r="AA137">
        <f>SUMIFS(StandardName[RankValueInTheRanking],StandardName[StandardizedName],Analiza_wRankingach[[#This Row],[Nazwa uczelni]],StandardName[Ranking],"=ARWU")</f>
        <v>0</v>
      </c>
      <c r="AB137">
        <f>SUMIFS(StandardName[RankValueInTheRanking],StandardName[StandardizedName],Analiza_wRankingach[[#This Row],[Nazwa uczelni]],StandardName[Ranking],"=QS")</f>
        <v>77</v>
      </c>
      <c r="AC137">
        <f>SUMIFS(StandardName[RankValueInTheRanking],StandardName[StandardizedName],Analiza_wRankingach[[#This Row],[Nazwa uczelni]],StandardName[Ranking],"=Webometrics")</f>
        <v>0</v>
      </c>
      <c r="AD137">
        <f>SUMIFS(StandardName[IDinTheRanking],StandardName[StandardizedName],Analiza_wRankingach[[#This Row],[Nazwa uczelni]],StandardName[Ranking],"=THE")</f>
        <v>0</v>
      </c>
      <c r="AE137">
        <f>SUMIFS(StandardName[IDinTheRanking],StandardName[StandardizedName],Analiza_wRankingach[[#This Row],[Nazwa uczelni]],StandardName[Ranking],"=ARWU")</f>
        <v>0</v>
      </c>
      <c r="AF137">
        <f>SUMIFS(StandardName[IDinTheRanking],StandardName[StandardizedName],Analiza_wRankingach[[#This Row],[Nazwa uczelni]],StandardName[Ranking],"=QS")</f>
        <v>77</v>
      </c>
      <c r="AG137">
        <f>SUMIFS(StandardName[IDinTheRanking],StandardName[StandardizedName],Analiza_wRankingach[[#This Row],[Nazwa uczelni]],StandardName[Ranking],"=Webometrics")</f>
        <v>0</v>
      </c>
      <c r="AH137">
        <f>SUM(Analiza_wRankingach[[#This Row],[THE_ID]:[Webometrics_ID]])</f>
        <v>77</v>
      </c>
      <c r="AI137" t="str">
        <f>IF(Analiza_wRankingach[[#This Row],[LiczbaWystąpień]]&gt;=T138,"OK","UWAGA")</f>
        <v>OK</v>
      </c>
    </row>
    <row r="138" spans="1:35" x14ac:dyDescent="0.45">
      <c r="A138">
        <v>136</v>
      </c>
      <c r="B138" t="str">
        <f>Analiza_wRankingach[[#This Row],[Nazwa uczelni]]</f>
        <v>North Carolina State University</v>
      </c>
      <c r="C138">
        <f>Analiza_wRankingach[[#This Row],[WartośćKontrolna]]</f>
        <v>827</v>
      </c>
      <c r="D138">
        <f>Analiza_wRankingach[[#This Row],[THE_RV]]</f>
        <v>0</v>
      </c>
      <c r="E138">
        <f>Analiza_wRankingach[[#This Row],[ARWU_RV]]</f>
        <v>0</v>
      </c>
      <c r="F138">
        <f>Analiza_wRankingach[[#This Row],[QS_RV]]</f>
        <v>0</v>
      </c>
      <c r="G138">
        <f>Analiza_wRankingach[[#This Row],[Webometrics_RV]]</f>
        <v>77</v>
      </c>
      <c r="I138" t="s">
        <v>360</v>
      </c>
      <c r="J138">
        <v>36</v>
      </c>
      <c r="K138" t="s">
        <v>360</v>
      </c>
      <c r="L138">
        <v>36</v>
      </c>
      <c r="M138" t="s">
        <v>849</v>
      </c>
      <c r="O138" t="s">
        <v>830</v>
      </c>
      <c r="P138">
        <f>IF(SUMIFS(StandardName[IDinTheRanking],StandardName[StandardizedName],Analiza_wRankingach[[#This Row],[Nazwa uczelni]],StandardName[Ranking],"=THE")&gt;0,1,0)</f>
        <v>0</v>
      </c>
      <c r="Q138">
        <f>IF(SUMIFS(StandardName[IDinTheRanking],StandardName[StandardizedName],Analiza_wRankingach[[#This Row],[Nazwa uczelni]],StandardName[Ranking],"=ARWU")&gt;0,1,0)</f>
        <v>0</v>
      </c>
      <c r="R138">
        <f>IF(SUMIFS(StandardName[IDinTheRanking],StandardName[StandardizedName],Analiza_wRankingach[[#This Row],[Nazwa uczelni]],StandardName[Ranking],"=QS")&gt;0,1,0)</f>
        <v>0</v>
      </c>
      <c r="S138">
        <f>IF(SUMIFS(StandardName[IDinTheRanking],StandardName[StandardizedName],Analiza_wRankingach[[#This Row],[Nazwa uczelni]],StandardName[Ranking],"=Webometrics")&gt;0,1,0)</f>
        <v>1</v>
      </c>
      <c r="T138">
        <f>SUM(Analiza_wRankingach[[#This Row],[THE]:[Webometrics]])</f>
        <v>1</v>
      </c>
      <c r="U138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250</v>
      </c>
      <c r="V138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250</v>
      </c>
      <c r="W138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250</v>
      </c>
      <c r="X138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77</v>
      </c>
      <c r="Y138">
        <f>SUM(Analiza_wRankingach[[#This Row],[THE_RV1000]:[Webometrics_RV1000]])</f>
        <v>827</v>
      </c>
      <c r="Z138">
        <f>SUMIFS(StandardName[RankValueInTheRanking],StandardName[StandardizedName],Analiza_wRankingach[[#This Row],[Nazwa uczelni]],StandardName[Ranking],"=THE")</f>
        <v>0</v>
      </c>
      <c r="AA138">
        <f>SUMIFS(StandardName[RankValueInTheRanking],StandardName[StandardizedName],Analiza_wRankingach[[#This Row],[Nazwa uczelni]],StandardName[Ranking],"=ARWU")</f>
        <v>0</v>
      </c>
      <c r="AB138">
        <f>SUMIFS(StandardName[RankValueInTheRanking],StandardName[StandardizedName],Analiza_wRankingach[[#This Row],[Nazwa uczelni]],StandardName[Ranking],"=QS")</f>
        <v>0</v>
      </c>
      <c r="AC138">
        <f>SUMIFS(StandardName[RankValueInTheRanking],StandardName[StandardizedName],Analiza_wRankingach[[#This Row],[Nazwa uczelni]],StandardName[Ranking],"=Webometrics")</f>
        <v>77</v>
      </c>
      <c r="AD138">
        <f>SUMIFS(StandardName[IDinTheRanking],StandardName[StandardizedName],Analiza_wRankingach[[#This Row],[Nazwa uczelni]],StandardName[Ranking],"=THE")</f>
        <v>0</v>
      </c>
      <c r="AE138">
        <f>SUMIFS(StandardName[IDinTheRanking],StandardName[StandardizedName],Analiza_wRankingach[[#This Row],[Nazwa uczelni]],StandardName[Ranking],"=ARWU")</f>
        <v>0</v>
      </c>
      <c r="AF138">
        <f>SUMIFS(StandardName[IDinTheRanking],StandardName[StandardizedName],Analiza_wRankingach[[#This Row],[Nazwa uczelni]],StandardName[Ranking],"=QS")</f>
        <v>0</v>
      </c>
      <c r="AG138">
        <f>SUMIFS(StandardName[IDinTheRanking],StandardName[StandardizedName],Analiza_wRankingach[[#This Row],[Nazwa uczelni]],StandardName[Ranking],"=Webometrics")</f>
        <v>77</v>
      </c>
      <c r="AH138">
        <f>SUM(Analiza_wRankingach[[#This Row],[THE_ID]:[Webometrics_ID]])</f>
        <v>77</v>
      </c>
      <c r="AI138" t="str">
        <f>IF(Analiza_wRankingach[[#This Row],[LiczbaWystąpień]]&gt;=T139,"OK","UWAGA")</f>
        <v>OK</v>
      </c>
    </row>
    <row r="139" spans="1:35" x14ac:dyDescent="0.45">
      <c r="A139">
        <v>137</v>
      </c>
      <c r="B139" t="str">
        <f>Analiza_wRankingach[[#This Row],[Nazwa uczelni]]</f>
        <v>The Hebrew University of Jerusalem</v>
      </c>
      <c r="C139">
        <f>Analiza_wRankingach[[#This Row],[WartośćKontrolna]]</f>
        <v>827</v>
      </c>
      <c r="D139">
        <f>Analiza_wRankingach[[#This Row],[THE_RV]]</f>
        <v>0</v>
      </c>
      <c r="E139">
        <f>Analiza_wRankingach[[#This Row],[ARWU_RV]]</f>
        <v>77</v>
      </c>
      <c r="F139">
        <f>Analiza_wRankingach[[#This Row],[QS_RV]]</f>
        <v>0</v>
      </c>
      <c r="G139">
        <f>Analiza_wRankingach[[#This Row],[Webometrics_RV]]</f>
        <v>0</v>
      </c>
      <c r="I139" t="s">
        <v>558</v>
      </c>
      <c r="J139">
        <v>37</v>
      </c>
      <c r="K139" t="s">
        <v>199</v>
      </c>
      <c r="L139">
        <v>37</v>
      </c>
      <c r="M139" t="s">
        <v>849</v>
      </c>
      <c r="O139" t="s">
        <v>603</v>
      </c>
      <c r="P139">
        <f>IF(SUMIFS(StandardName[IDinTheRanking],StandardName[StandardizedName],Analiza_wRankingach[[#This Row],[Nazwa uczelni]],StandardName[Ranking],"=THE")&gt;0,1,0)</f>
        <v>0</v>
      </c>
      <c r="Q139">
        <f>IF(SUMIFS(StandardName[IDinTheRanking],StandardName[StandardizedName],Analiza_wRankingach[[#This Row],[Nazwa uczelni]],StandardName[Ranking],"=ARWU")&gt;0,1,0)</f>
        <v>1</v>
      </c>
      <c r="R139">
        <f>IF(SUMIFS(StandardName[IDinTheRanking],StandardName[StandardizedName],Analiza_wRankingach[[#This Row],[Nazwa uczelni]],StandardName[Ranking],"=QS")&gt;0,1,0)</f>
        <v>0</v>
      </c>
      <c r="S139">
        <f>IF(SUMIFS(StandardName[IDinTheRanking],StandardName[StandardizedName],Analiza_wRankingach[[#This Row],[Nazwa uczelni]],StandardName[Ranking],"=Webometrics")&gt;0,1,0)</f>
        <v>0</v>
      </c>
      <c r="T139">
        <f>SUM(Analiza_wRankingach[[#This Row],[THE]:[Webometrics]])</f>
        <v>1</v>
      </c>
      <c r="U139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250</v>
      </c>
      <c r="V139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77</v>
      </c>
      <c r="W139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250</v>
      </c>
      <c r="X139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250</v>
      </c>
      <c r="Y139">
        <f>SUM(Analiza_wRankingach[[#This Row],[THE_RV1000]:[Webometrics_RV1000]])</f>
        <v>827</v>
      </c>
      <c r="Z139">
        <f>SUMIFS(StandardName[RankValueInTheRanking],StandardName[StandardizedName],Analiza_wRankingach[[#This Row],[Nazwa uczelni]],StandardName[Ranking],"=THE")</f>
        <v>0</v>
      </c>
      <c r="AA139">
        <f>SUMIFS(StandardName[RankValueInTheRanking],StandardName[StandardizedName],Analiza_wRankingach[[#This Row],[Nazwa uczelni]],StandardName[Ranking],"=ARWU")</f>
        <v>77</v>
      </c>
      <c r="AB139">
        <f>SUMIFS(StandardName[RankValueInTheRanking],StandardName[StandardizedName],Analiza_wRankingach[[#This Row],[Nazwa uczelni]],StandardName[Ranking],"=QS")</f>
        <v>0</v>
      </c>
      <c r="AC139">
        <f>SUMIFS(StandardName[RankValueInTheRanking],StandardName[StandardizedName],Analiza_wRankingach[[#This Row],[Nazwa uczelni]],StandardName[Ranking],"=Webometrics")</f>
        <v>0</v>
      </c>
      <c r="AD139">
        <f>SUMIFS(StandardName[IDinTheRanking],StandardName[StandardizedName],Analiza_wRankingach[[#This Row],[Nazwa uczelni]],StandardName[Ranking],"=THE")</f>
        <v>0</v>
      </c>
      <c r="AE139">
        <f>SUMIFS(StandardName[IDinTheRanking],StandardName[StandardizedName],Analiza_wRankingach[[#This Row],[Nazwa uczelni]],StandardName[Ranking],"=ARWU")</f>
        <v>77</v>
      </c>
      <c r="AF139">
        <f>SUMIFS(StandardName[IDinTheRanking],StandardName[StandardizedName],Analiza_wRankingach[[#This Row],[Nazwa uczelni]],StandardName[Ranking],"=QS")</f>
        <v>0</v>
      </c>
      <c r="AG139">
        <f>SUMIFS(StandardName[IDinTheRanking],StandardName[StandardizedName],Analiza_wRankingach[[#This Row],[Nazwa uczelni]],StandardName[Ranking],"=Webometrics")</f>
        <v>0</v>
      </c>
      <c r="AH139">
        <f>SUM(Analiza_wRankingach[[#This Row],[THE_ID]:[Webometrics_ID]])</f>
        <v>77</v>
      </c>
      <c r="AI139" t="str">
        <f>IF(Analiza_wRankingach[[#This Row],[LiczbaWystąpień]]&gt;=T140,"OK","UWAGA")</f>
        <v>OK</v>
      </c>
    </row>
    <row r="140" spans="1:35" x14ac:dyDescent="0.45">
      <c r="A140">
        <v>138</v>
      </c>
      <c r="B140" t="str">
        <f>Analiza_wRankingach[[#This Row],[Nazwa uczelni]]</f>
        <v>Catholic University of Leuven / Katholieke Universiteit Leuven</v>
      </c>
      <c r="C140">
        <f>Analiza_wRankingach[[#This Row],[WartośćKontrolna]]</f>
        <v>828</v>
      </c>
      <c r="D140">
        <f>Analiza_wRankingach[[#This Row],[THE_RV]]</f>
        <v>0</v>
      </c>
      <c r="E140">
        <f>Analiza_wRankingach[[#This Row],[ARWU_RV]]</f>
        <v>0</v>
      </c>
      <c r="F140">
        <f>Analiza_wRankingach[[#This Row],[QS_RV]]</f>
        <v>0</v>
      </c>
      <c r="G140">
        <f>Analiza_wRankingach[[#This Row],[Webometrics_RV]]</f>
        <v>78</v>
      </c>
      <c r="I140" t="s">
        <v>683</v>
      </c>
      <c r="J140">
        <v>38</v>
      </c>
      <c r="K140" t="s">
        <v>250</v>
      </c>
      <c r="L140">
        <v>38</v>
      </c>
      <c r="M140" t="s">
        <v>849</v>
      </c>
      <c r="O140" t="s">
        <v>831</v>
      </c>
      <c r="P140">
        <f>IF(SUMIFS(StandardName[IDinTheRanking],StandardName[StandardizedName],Analiza_wRankingach[[#This Row],[Nazwa uczelni]],StandardName[Ranking],"=THE")&gt;0,1,0)</f>
        <v>0</v>
      </c>
      <c r="Q140">
        <f>IF(SUMIFS(StandardName[IDinTheRanking],StandardName[StandardizedName],Analiza_wRankingach[[#This Row],[Nazwa uczelni]],StandardName[Ranking],"=ARWU")&gt;0,1,0)</f>
        <v>0</v>
      </c>
      <c r="R140">
        <f>IF(SUMIFS(StandardName[IDinTheRanking],StandardName[StandardizedName],Analiza_wRankingach[[#This Row],[Nazwa uczelni]],StandardName[Ranking],"=QS")&gt;0,1,0)</f>
        <v>0</v>
      </c>
      <c r="S140">
        <f>IF(SUMIFS(StandardName[IDinTheRanking],StandardName[StandardizedName],Analiza_wRankingach[[#This Row],[Nazwa uczelni]],StandardName[Ranking],"=Webometrics")&gt;0,1,0)</f>
        <v>1</v>
      </c>
      <c r="T140">
        <f>SUM(Analiza_wRankingach[[#This Row],[THE]:[Webometrics]])</f>
        <v>1</v>
      </c>
      <c r="U140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250</v>
      </c>
      <c r="V140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250</v>
      </c>
      <c r="W140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250</v>
      </c>
      <c r="X140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78</v>
      </c>
      <c r="Y140">
        <f>SUM(Analiza_wRankingach[[#This Row],[THE_RV1000]:[Webometrics_RV1000]])</f>
        <v>828</v>
      </c>
      <c r="Z140">
        <f>SUMIFS(StandardName[RankValueInTheRanking],StandardName[StandardizedName],Analiza_wRankingach[[#This Row],[Nazwa uczelni]],StandardName[Ranking],"=THE")</f>
        <v>0</v>
      </c>
      <c r="AA140">
        <f>SUMIFS(StandardName[RankValueInTheRanking],StandardName[StandardizedName],Analiza_wRankingach[[#This Row],[Nazwa uczelni]],StandardName[Ranking],"=ARWU")</f>
        <v>0</v>
      </c>
      <c r="AB140">
        <f>SUMIFS(StandardName[RankValueInTheRanking],StandardName[StandardizedName],Analiza_wRankingach[[#This Row],[Nazwa uczelni]],StandardName[Ranking],"=QS")</f>
        <v>0</v>
      </c>
      <c r="AC140">
        <f>SUMIFS(StandardName[RankValueInTheRanking],StandardName[StandardizedName],Analiza_wRankingach[[#This Row],[Nazwa uczelni]],StandardName[Ranking],"=Webometrics")</f>
        <v>78</v>
      </c>
      <c r="AD140">
        <f>SUMIFS(StandardName[IDinTheRanking],StandardName[StandardizedName],Analiza_wRankingach[[#This Row],[Nazwa uczelni]],StandardName[Ranking],"=THE")</f>
        <v>0</v>
      </c>
      <c r="AE140">
        <f>SUMIFS(StandardName[IDinTheRanking],StandardName[StandardizedName],Analiza_wRankingach[[#This Row],[Nazwa uczelni]],StandardName[Ranking],"=ARWU")</f>
        <v>0</v>
      </c>
      <c r="AF140">
        <f>SUMIFS(StandardName[IDinTheRanking],StandardName[StandardizedName],Analiza_wRankingach[[#This Row],[Nazwa uczelni]],StandardName[Ranking],"=QS")</f>
        <v>0</v>
      </c>
      <c r="AG140">
        <f>SUMIFS(StandardName[IDinTheRanking],StandardName[StandardizedName],Analiza_wRankingach[[#This Row],[Nazwa uczelni]],StandardName[Ranking],"=Webometrics")</f>
        <v>78</v>
      </c>
      <c r="AH140">
        <f>SUM(Analiza_wRankingach[[#This Row],[THE_ID]:[Webometrics_ID]])</f>
        <v>78</v>
      </c>
      <c r="AI140" t="str">
        <f>IF(Analiza_wRankingach[[#This Row],[LiczbaWystąpień]]&gt;=T141,"OK","UWAGA")</f>
        <v>OK</v>
      </c>
    </row>
    <row r="141" spans="1:35" x14ac:dyDescent="0.45">
      <c r="A141">
        <v>139</v>
      </c>
      <c r="B141" t="str">
        <f>Analiza_wRankingach[[#This Row],[Nazwa uczelni]]</f>
        <v>University of Southampton</v>
      </c>
      <c r="C141">
        <f>Analiza_wRankingach[[#This Row],[WartośćKontrolna]]</f>
        <v>828</v>
      </c>
      <c r="D141">
        <f>Analiza_wRankingach[[#This Row],[THE_RV]]</f>
        <v>0</v>
      </c>
      <c r="E141">
        <f>Analiza_wRankingach[[#This Row],[ARWU_RV]]</f>
        <v>0</v>
      </c>
      <c r="F141">
        <f>Analiza_wRankingach[[#This Row],[QS_RV]]</f>
        <v>78</v>
      </c>
      <c r="G141">
        <f>Analiza_wRankingach[[#This Row],[Webometrics_RV]]</f>
        <v>0</v>
      </c>
      <c r="I141" t="s">
        <v>686</v>
      </c>
      <c r="J141">
        <v>39</v>
      </c>
      <c r="K141" t="s">
        <v>139</v>
      </c>
      <c r="L141">
        <v>39</v>
      </c>
      <c r="M141" t="s">
        <v>849</v>
      </c>
      <c r="O141" t="s">
        <v>740</v>
      </c>
      <c r="P141">
        <f>IF(SUMIFS(StandardName[IDinTheRanking],StandardName[StandardizedName],Analiza_wRankingach[[#This Row],[Nazwa uczelni]],StandardName[Ranking],"=THE")&gt;0,1,0)</f>
        <v>0</v>
      </c>
      <c r="Q141">
        <f>IF(SUMIFS(StandardName[IDinTheRanking],StandardName[StandardizedName],Analiza_wRankingach[[#This Row],[Nazwa uczelni]],StandardName[Ranking],"=ARWU")&gt;0,1,0)</f>
        <v>0</v>
      </c>
      <c r="R141">
        <f>IF(SUMIFS(StandardName[IDinTheRanking],StandardName[StandardizedName],Analiza_wRankingach[[#This Row],[Nazwa uczelni]],StandardName[Ranking],"=QS")&gt;0,1,0)</f>
        <v>1</v>
      </c>
      <c r="S141">
        <f>IF(SUMIFS(StandardName[IDinTheRanking],StandardName[StandardizedName],Analiza_wRankingach[[#This Row],[Nazwa uczelni]],StandardName[Ranking],"=Webometrics")&gt;0,1,0)</f>
        <v>0</v>
      </c>
      <c r="T141">
        <f>SUM(Analiza_wRankingach[[#This Row],[THE]:[Webometrics]])</f>
        <v>1</v>
      </c>
      <c r="U141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250</v>
      </c>
      <c r="V141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250</v>
      </c>
      <c r="W141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78</v>
      </c>
      <c r="X141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250</v>
      </c>
      <c r="Y141">
        <f>SUM(Analiza_wRankingach[[#This Row],[THE_RV1000]:[Webometrics_RV1000]])</f>
        <v>828</v>
      </c>
      <c r="Z141">
        <f>SUMIFS(StandardName[RankValueInTheRanking],StandardName[StandardizedName],Analiza_wRankingach[[#This Row],[Nazwa uczelni]],StandardName[Ranking],"=THE")</f>
        <v>0</v>
      </c>
      <c r="AA141">
        <f>SUMIFS(StandardName[RankValueInTheRanking],StandardName[StandardizedName],Analiza_wRankingach[[#This Row],[Nazwa uczelni]],StandardName[Ranking],"=ARWU")</f>
        <v>0</v>
      </c>
      <c r="AB141">
        <f>SUMIFS(StandardName[RankValueInTheRanking],StandardName[StandardizedName],Analiza_wRankingach[[#This Row],[Nazwa uczelni]],StandardName[Ranking],"=QS")</f>
        <v>78</v>
      </c>
      <c r="AC141">
        <f>SUMIFS(StandardName[RankValueInTheRanking],StandardName[StandardizedName],Analiza_wRankingach[[#This Row],[Nazwa uczelni]],StandardName[Ranking],"=Webometrics")</f>
        <v>0</v>
      </c>
      <c r="AD141">
        <f>SUMIFS(StandardName[IDinTheRanking],StandardName[StandardizedName],Analiza_wRankingach[[#This Row],[Nazwa uczelni]],StandardName[Ranking],"=THE")</f>
        <v>0</v>
      </c>
      <c r="AE141">
        <f>SUMIFS(StandardName[IDinTheRanking],StandardName[StandardizedName],Analiza_wRankingach[[#This Row],[Nazwa uczelni]],StandardName[Ranking],"=ARWU")</f>
        <v>0</v>
      </c>
      <c r="AF141">
        <f>SUMIFS(StandardName[IDinTheRanking],StandardName[StandardizedName],Analiza_wRankingach[[#This Row],[Nazwa uczelni]],StandardName[Ranking],"=QS")</f>
        <v>78</v>
      </c>
      <c r="AG141">
        <f>SUMIFS(StandardName[IDinTheRanking],StandardName[StandardizedName],Analiza_wRankingach[[#This Row],[Nazwa uczelni]],StandardName[Ranking],"=Webometrics")</f>
        <v>0</v>
      </c>
      <c r="AH141">
        <f>SUM(Analiza_wRankingach[[#This Row],[THE_ID]:[Webometrics_ID]])</f>
        <v>78</v>
      </c>
      <c r="AI141" t="str">
        <f>IF(Analiza_wRankingach[[#This Row],[LiczbaWystąpień]]&gt;=T142,"OK","UWAGA")</f>
        <v>OK</v>
      </c>
    </row>
    <row r="142" spans="1:35" x14ac:dyDescent="0.45">
      <c r="A142">
        <v>140</v>
      </c>
      <c r="B142" t="str">
        <f>Analiza_wRankingach[[#This Row],[Nazwa uczelni]]</f>
        <v>Université Paris Cité</v>
      </c>
      <c r="C142">
        <f>Analiza_wRankingach[[#This Row],[WartośćKontrolna]]</f>
        <v>828</v>
      </c>
      <c r="D142">
        <f>Analiza_wRankingach[[#This Row],[THE_RV]]</f>
        <v>0</v>
      </c>
      <c r="E142">
        <f>Analiza_wRankingach[[#This Row],[ARWU_RV]]</f>
        <v>78</v>
      </c>
      <c r="F142">
        <f>Analiza_wRankingach[[#This Row],[QS_RV]]</f>
        <v>0</v>
      </c>
      <c r="G142">
        <f>Analiza_wRankingach[[#This Row],[Webometrics_RV]]</f>
        <v>0</v>
      </c>
      <c r="I142" t="s">
        <v>319</v>
      </c>
      <c r="J142">
        <v>40</v>
      </c>
      <c r="K142" t="s">
        <v>319</v>
      </c>
      <c r="L142">
        <v>40</v>
      </c>
      <c r="M142" t="s">
        <v>849</v>
      </c>
      <c r="O142" t="s">
        <v>604</v>
      </c>
      <c r="P142">
        <f>IF(SUMIFS(StandardName[IDinTheRanking],StandardName[StandardizedName],Analiza_wRankingach[[#This Row],[Nazwa uczelni]],StandardName[Ranking],"=THE")&gt;0,1,0)</f>
        <v>0</v>
      </c>
      <c r="Q142">
        <f>IF(SUMIFS(StandardName[IDinTheRanking],StandardName[StandardizedName],Analiza_wRankingach[[#This Row],[Nazwa uczelni]],StandardName[Ranking],"=ARWU")&gt;0,1,0)</f>
        <v>1</v>
      </c>
      <c r="R142">
        <f>IF(SUMIFS(StandardName[IDinTheRanking],StandardName[StandardizedName],Analiza_wRankingach[[#This Row],[Nazwa uczelni]],StandardName[Ranking],"=QS")&gt;0,1,0)</f>
        <v>0</v>
      </c>
      <c r="S142">
        <f>IF(SUMIFS(StandardName[IDinTheRanking],StandardName[StandardizedName],Analiza_wRankingach[[#This Row],[Nazwa uczelni]],StandardName[Ranking],"=Webometrics")&gt;0,1,0)</f>
        <v>0</v>
      </c>
      <c r="T142">
        <f>SUM(Analiza_wRankingach[[#This Row],[THE]:[Webometrics]])</f>
        <v>1</v>
      </c>
      <c r="U142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250</v>
      </c>
      <c r="V142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78</v>
      </c>
      <c r="W142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250</v>
      </c>
      <c r="X142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250</v>
      </c>
      <c r="Y142">
        <f>SUM(Analiza_wRankingach[[#This Row],[THE_RV1000]:[Webometrics_RV1000]])</f>
        <v>828</v>
      </c>
      <c r="Z142">
        <f>SUMIFS(StandardName[RankValueInTheRanking],StandardName[StandardizedName],Analiza_wRankingach[[#This Row],[Nazwa uczelni]],StandardName[Ranking],"=THE")</f>
        <v>0</v>
      </c>
      <c r="AA142">
        <f>SUMIFS(StandardName[RankValueInTheRanking],StandardName[StandardizedName],Analiza_wRankingach[[#This Row],[Nazwa uczelni]],StandardName[Ranking],"=ARWU")</f>
        <v>78</v>
      </c>
      <c r="AB142">
        <f>SUMIFS(StandardName[RankValueInTheRanking],StandardName[StandardizedName],Analiza_wRankingach[[#This Row],[Nazwa uczelni]],StandardName[Ranking],"=QS")</f>
        <v>0</v>
      </c>
      <c r="AC142">
        <f>SUMIFS(StandardName[RankValueInTheRanking],StandardName[StandardizedName],Analiza_wRankingach[[#This Row],[Nazwa uczelni]],StandardName[Ranking],"=Webometrics")</f>
        <v>0</v>
      </c>
      <c r="AD142">
        <f>SUMIFS(StandardName[IDinTheRanking],StandardName[StandardizedName],Analiza_wRankingach[[#This Row],[Nazwa uczelni]],StandardName[Ranking],"=THE")</f>
        <v>0</v>
      </c>
      <c r="AE142">
        <f>SUMIFS(StandardName[IDinTheRanking],StandardName[StandardizedName],Analiza_wRankingach[[#This Row],[Nazwa uczelni]],StandardName[Ranking],"=ARWU")</f>
        <v>78</v>
      </c>
      <c r="AF142">
        <f>SUMIFS(StandardName[IDinTheRanking],StandardName[StandardizedName],Analiza_wRankingach[[#This Row],[Nazwa uczelni]],StandardName[Ranking],"=QS")</f>
        <v>0</v>
      </c>
      <c r="AG142">
        <f>SUMIFS(StandardName[IDinTheRanking],StandardName[StandardizedName],Analiza_wRankingach[[#This Row],[Nazwa uczelni]],StandardName[Ranking],"=Webometrics")</f>
        <v>0</v>
      </c>
      <c r="AH142">
        <f>SUM(Analiza_wRankingach[[#This Row],[THE_ID]:[Webometrics_ID]])</f>
        <v>78</v>
      </c>
      <c r="AI142" t="str">
        <f>IF(Analiza_wRankingach[[#This Row],[LiczbaWystąpień]]&gt;=T143,"OK","UWAGA")</f>
        <v>OK</v>
      </c>
    </row>
    <row r="143" spans="1:35" x14ac:dyDescent="0.45">
      <c r="A143">
        <v>141</v>
      </c>
      <c r="B143" t="str">
        <f>Analiza_wRankingach[[#This Row],[Nazwa uczelni]]</f>
        <v>Tohoku University</v>
      </c>
      <c r="C143">
        <f>Analiza_wRankingach[[#This Row],[WartośćKontrolna]]</f>
        <v>829</v>
      </c>
      <c r="D143">
        <f>Analiza_wRankingach[[#This Row],[THE_RV]]</f>
        <v>0</v>
      </c>
      <c r="E143">
        <f>Analiza_wRankingach[[#This Row],[ARWU_RV]]</f>
        <v>0</v>
      </c>
      <c r="F143">
        <f>Analiza_wRankingach[[#This Row],[QS_RV]]</f>
        <v>79</v>
      </c>
      <c r="G143">
        <f>Analiza_wRankingach[[#This Row],[Webometrics_RV]]</f>
        <v>0</v>
      </c>
      <c r="I143" t="s">
        <v>301</v>
      </c>
      <c r="J143">
        <v>41</v>
      </c>
      <c r="K143" t="s">
        <v>572</v>
      </c>
      <c r="L143">
        <v>41</v>
      </c>
      <c r="M143" t="s">
        <v>849</v>
      </c>
      <c r="O143" t="s">
        <v>742</v>
      </c>
      <c r="P143">
        <f>IF(SUMIFS(StandardName[IDinTheRanking],StandardName[StandardizedName],Analiza_wRankingach[[#This Row],[Nazwa uczelni]],StandardName[Ranking],"=THE")&gt;0,1,0)</f>
        <v>0</v>
      </c>
      <c r="Q143">
        <f>IF(SUMIFS(StandardName[IDinTheRanking],StandardName[StandardizedName],Analiza_wRankingach[[#This Row],[Nazwa uczelni]],StandardName[Ranking],"=ARWU")&gt;0,1,0)</f>
        <v>0</v>
      </c>
      <c r="R143">
        <f>IF(SUMIFS(StandardName[IDinTheRanking],StandardName[StandardizedName],Analiza_wRankingach[[#This Row],[Nazwa uczelni]],StandardName[Ranking],"=QS")&gt;0,1,0)</f>
        <v>1</v>
      </c>
      <c r="S143">
        <f>IF(SUMIFS(StandardName[IDinTheRanking],StandardName[StandardizedName],Analiza_wRankingach[[#This Row],[Nazwa uczelni]],StandardName[Ranking],"=Webometrics")&gt;0,1,0)</f>
        <v>0</v>
      </c>
      <c r="T143">
        <f>SUM(Analiza_wRankingach[[#This Row],[THE]:[Webometrics]])</f>
        <v>1</v>
      </c>
      <c r="U143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250</v>
      </c>
      <c r="V143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250</v>
      </c>
      <c r="W143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79</v>
      </c>
      <c r="X143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250</v>
      </c>
      <c r="Y143">
        <f>SUM(Analiza_wRankingach[[#This Row],[THE_RV1000]:[Webometrics_RV1000]])</f>
        <v>829</v>
      </c>
      <c r="Z143">
        <f>SUMIFS(StandardName[RankValueInTheRanking],StandardName[StandardizedName],Analiza_wRankingach[[#This Row],[Nazwa uczelni]],StandardName[Ranking],"=THE")</f>
        <v>0</v>
      </c>
      <c r="AA143">
        <f>SUMIFS(StandardName[RankValueInTheRanking],StandardName[StandardizedName],Analiza_wRankingach[[#This Row],[Nazwa uczelni]],StandardName[Ranking],"=ARWU")</f>
        <v>0</v>
      </c>
      <c r="AB143">
        <f>SUMIFS(StandardName[RankValueInTheRanking],StandardName[StandardizedName],Analiza_wRankingach[[#This Row],[Nazwa uczelni]],StandardName[Ranking],"=QS")</f>
        <v>79</v>
      </c>
      <c r="AC143">
        <f>SUMIFS(StandardName[RankValueInTheRanking],StandardName[StandardizedName],Analiza_wRankingach[[#This Row],[Nazwa uczelni]],StandardName[Ranking],"=Webometrics")</f>
        <v>0</v>
      </c>
      <c r="AD143">
        <f>SUMIFS(StandardName[IDinTheRanking],StandardName[StandardizedName],Analiza_wRankingach[[#This Row],[Nazwa uczelni]],StandardName[Ranking],"=THE")</f>
        <v>0</v>
      </c>
      <c r="AE143">
        <f>SUMIFS(StandardName[IDinTheRanking],StandardName[StandardizedName],Analiza_wRankingach[[#This Row],[Nazwa uczelni]],StandardName[Ranking],"=ARWU")</f>
        <v>0</v>
      </c>
      <c r="AF143">
        <f>SUMIFS(StandardName[IDinTheRanking],StandardName[StandardizedName],Analiza_wRankingach[[#This Row],[Nazwa uczelni]],StandardName[Ranking],"=QS")</f>
        <v>79</v>
      </c>
      <c r="AG143">
        <f>SUMIFS(StandardName[IDinTheRanking],StandardName[StandardizedName],Analiza_wRankingach[[#This Row],[Nazwa uczelni]],StandardName[Ranking],"=Webometrics")</f>
        <v>0</v>
      </c>
      <c r="AH143">
        <f>SUM(Analiza_wRankingach[[#This Row],[THE_ID]:[Webometrics_ID]])</f>
        <v>79</v>
      </c>
      <c r="AI143" t="str">
        <f>IF(Analiza_wRankingach[[#This Row],[LiczbaWystąpień]]&gt;=T144,"OK","UWAGA")</f>
        <v>OK</v>
      </c>
    </row>
    <row r="144" spans="1:35" x14ac:dyDescent="0.45">
      <c r="A144">
        <v>142</v>
      </c>
      <c r="B144" t="str">
        <f>Analiza_wRankingach[[#This Row],[Nazwa uczelni]]</f>
        <v>Sun Yat-sen University</v>
      </c>
      <c r="C144">
        <f>Analiza_wRankingach[[#This Row],[WartośćKontrolna]]</f>
        <v>829</v>
      </c>
      <c r="D144">
        <f>Analiza_wRankingach[[#This Row],[THE_RV]]</f>
        <v>0</v>
      </c>
      <c r="E144">
        <f>Analiza_wRankingach[[#This Row],[ARWU_RV]]</f>
        <v>79</v>
      </c>
      <c r="F144">
        <f>Analiza_wRankingach[[#This Row],[QS_RV]]</f>
        <v>0</v>
      </c>
      <c r="G144">
        <f>Analiza_wRankingach[[#This Row],[Webometrics_RV]]</f>
        <v>0</v>
      </c>
      <c r="I144" t="s">
        <v>689</v>
      </c>
      <c r="J144">
        <v>42</v>
      </c>
      <c r="K144" t="s">
        <v>689</v>
      </c>
      <c r="L144">
        <v>42</v>
      </c>
      <c r="M144" t="s">
        <v>849</v>
      </c>
      <c r="O144" t="s">
        <v>605</v>
      </c>
      <c r="P144">
        <f>IF(SUMIFS(StandardName[IDinTheRanking],StandardName[StandardizedName],Analiza_wRankingach[[#This Row],[Nazwa uczelni]],StandardName[Ranking],"=THE")&gt;0,1,0)</f>
        <v>0</v>
      </c>
      <c r="Q144">
        <f>IF(SUMIFS(StandardName[IDinTheRanking],StandardName[StandardizedName],Analiza_wRankingach[[#This Row],[Nazwa uczelni]],StandardName[Ranking],"=ARWU")&gt;0,1,0)</f>
        <v>1</v>
      </c>
      <c r="R144">
        <f>IF(SUMIFS(StandardName[IDinTheRanking],StandardName[StandardizedName],Analiza_wRankingach[[#This Row],[Nazwa uczelni]],StandardName[Ranking],"=QS")&gt;0,1,0)</f>
        <v>0</v>
      </c>
      <c r="S144">
        <f>IF(SUMIFS(StandardName[IDinTheRanking],StandardName[StandardizedName],Analiza_wRankingach[[#This Row],[Nazwa uczelni]],StandardName[Ranking],"=Webometrics")&gt;0,1,0)</f>
        <v>0</v>
      </c>
      <c r="T144">
        <f>SUM(Analiza_wRankingach[[#This Row],[THE]:[Webometrics]])</f>
        <v>1</v>
      </c>
      <c r="U144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250</v>
      </c>
      <c r="V144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79</v>
      </c>
      <c r="W144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250</v>
      </c>
      <c r="X144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250</v>
      </c>
      <c r="Y144">
        <f>SUM(Analiza_wRankingach[[#This Row],[THE_RV1000]:[Webometrics_RV1000]])</f>
        <v>829</v>
      </c>
      <c r="Z144">
        <f>SUMIFS(StandardName[RankValueInTheRanking],StandardName[StandardizedName],Analiza_wRankingach[[#This Row],[Nazwa uczelni]],StandardName[Ranking],"=THE")</f>
        <v>0</v>
      </c>
      <c r="AA144">
        <f>SUMIFS(StandardName[RankValueInTheRanking],StandardName[StandardizedName],Analiza_wRankingach[[#This Row],[Nazwa uczelni]],StandardName[Ranking],"=ARWU")</f>
        <v>79</v>
      </c>
      <c r="AB144">
        <f>SUMIFS(StandardName[RankValueInTheRanking],StandardName[StandardizedName],Analiza_wRankingach[[#This Row],[Nazwa uczelni]],StandardName[Ranking],"=QS")</f>
        <v>0</v>
      </c>
      <c r="AC144">
        <f>SUMIFS(StandardName[RankValueInTheRanking],StandardName[StandardizedName],Analiza_wRankingach[[#This Row],[Nazwa uczelni]],StandardName[Ranking],"=Webometrics")</f>
        <v>0</v>
      </c>
      <c r="AD144">
        <f>SUMIFS(StandardName[IDinTheRanking],StandardName[StandardizedName],Analiza_wRankingach[[#This Row],[Nazwa uczelni]],StandardName[Ranking],"=THE")</f>
        <v>0</v>
      </c>
      <c r="AE144">
        <f>SUMIFS(StandardName[IDinTheRanking],StandardName[StandardizedName],Analiza_wRankingach[[#This Row],[Nazwa uczelni]],StandardName[Ranking],"=ARWU")</f>
        <v>79</v>
      </c>
      <c r="AF144">
        <f>SUMIFS(StandardName[IDinTheRanking],StandardName[StandardizedName],Analiza_wRankingach[[#This Row],[Nazwa uczelni]],StandardName[Ranking],"=QS")</f>
        <v>0</v>
      </c>
      <c r="AG144">
        <f>SUMIFS(StandardName[IDinTheRanking],StandardName[StandardizedName],Analiza_wRankingach[[#This Row],[Nazwa uczelni]],StandardName[Ranking],"=Webometrics")</f>
        <v>0</v>
      </c>
      <c r="AH144">
        <f>SUM(Analiza_wRankingach[[#This Row],[THE_ID]:[Webometrics_ID]])</f>
        <v>79</v>
      </c>
      <c r="AI144" t="str">
        <f>IF(Analiza_wRankingach[[#This Row],[LiczbaWystąpień]]&gt;=T145,"OK","UWAGA")</f>
        <v>OK</v>
      </c>
    </row>
    <row r="145" spans="1:35" x14ac:dyDescent="0.45">
      <c r="A145">
        <v>143</v>
      </c>
      <c r="B145" t="str">
        <f>Analiza_wRankingach[[#This Row],[Nazwa uczelni]]</f>
        <v>University of Iowa</v>
      </c>
      <c r="C145">
        <f>Analiza_wRankingach[[#This Row],[WartośćKontrolna]]</f>
        <v>832</v>
      </c>
      <c r="D145">
        <f>Analiza_wRankingach[[#This Row],[THE_RV]]</f>
        <v>0</v>
      </c>
      <c r="E145">
        <f>Analiza_wRankingach[[#This Row],[ARWU_RV]]</f>
        <v>0</v>
      </c>
      <c r="F145">
        <f>Analiza_wRankingach[[#This Row],[QS_RV]]</f>
        <v>0</v>
      </c>
      <c r="G145">
        <f>Analiza_wRankingach[[#This Row],[Webometrics_RV]]</f>
        <v>82</v>
      </c>
      <c r="I145" t="s">
        <v>355</v>
      </c>
      <c r="J145">
        <v>43</v>
      </c>
      <c r="K145" t="s">
        <v>355</v>
      </c>
      <c r="L145">
        <v>42</v>
      </c>
      <c r="M145" t="s">
        <v>849</v>
      </c>
      <c r="O145" t="s">
        <v>832</v>
      </c>
      <c r="P145">
        <f>IF(SUMIFS(StandardName[IDinTheRanking],StandardName[StandardizedName],Analiza_wRankingach[[#This Row],[Nazwa uczelni]],StandardName[Ranking],"=THE")&gt;0,1,0)</f>
        <v>0</v>
      </c>
      <c r="Q145">
        <f>IF(SUMIFS(StandardName[IDinTheRanking],StandardName[StandardizedName],Analiza_wRankingach[[#This Row],[Nazwa uczelni]],StandardName[Ranking],"=ARWU")&gt;0,1,0)</f>
        <v>0</v>
      </c>
      <c r="R145">
        <f>IF(SUMIFS(StandardName[IDinTheRanking],StandardName[StandardizedName],Analiza_wRankingach[[#This Row],[Nazwa uczelni]],StandardName[Ranking],"=QS")&gt;0,1,0)</f>
        <v>0</v>
      </c>
      <c r="S145">
        <f>IF(SUMIFS(StandardName[IDinTheRanking],StandardName[StandardizedName],Analiza_wRankingach[[#This Row],[Nazwa uczelni]],StandardName[Ranking],"=Webometrics")&gt;0,1,0)</f>
        <v>1</v>
      </c>
      <c r="T145">
        <f>SUM(Analiza_wRankingach[[#This Row],[THE]:[Webometrics]])</f>
        <v>1</v>
      </c>
      <c r="U145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250</v>
      </c>
      <c r="V145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250</v>
      </c>
      <c r="W145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250</v>
      </c>
      <c r="X145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82</v>
      </c>
      <c r="Y145">
        <f>SUM(Analiza_wRankingach[[#This Row],[THE_RV1000]:[Webometrics_RV1000]])</f>
        <v>832</v>
      </c>
      <c r="Z145">
        <f>SUMIFS(StandardName[RankValueInTheRanking],StandardName[StandardizedName],Analiza_wRankingach[[#This Row],[Nazwa uczelni]],StandardName[Ranking],"=THE")</f>
        <v>0</v>
      </c>
      <c r="AA145">
        <f>SUMIFS(StandardName[RankValueInTheRanking],StandardName[StandardizedName],Analiza_wRankingach[[#This Row],[Nazwa uczelni]],StandardName[Ranking],"=ARWU")</f>
        <v>0</v>
      </c>
      <c r="AB145">
        <f>SUMIFS(StandardName[RankValueInTheRanking],StandardName[StandardizedName],Analiza_wRankingach[[#This Row],[Nazwa uczelni]],StandardName[Ranking],"=QS")</f>
        <v>0</v>
      </c>
      <c r="AC145">
        <f>SUMIFS(StandardName[RankValueInTheRanking],StandardName[StandardizedName],Analiza_wRankingach[[#This Row],[Nazwa uczelni]],StandardName[Ranking],"=Webometrics")</f>
        <v>82</v>
      </c>
      <c r="AD145">
        <f>SUMIFS(StandardName[IDinTheRanking],StandardName[StandardizedName],Analiza_wRankingach[[#This Row],[Nazwa uczelni]],StandardName[Ranking],"=THE")</f>
        <v>0</v>
      </c>
      <c r="AE145">
        <f>SUMIFS(StandardName[IDinTheRanking],StandardName[StandardizedName],Analiza_wRankingach[[#This Row],[Nazwa uczelni]],StandardName[Ranking],"=ARWU")</f>
        <v>0</v>
      </c>
      <c r="AF145">
        <f>SUMIFS(StandardName[IDinTheRanking],StandardName[StandardizedName],Analiza_wRankingach[[#This Row],[Nazwa uczelni]],StandardName[Ranking],"=QS")</f>
        <v>0</v>
      </c>
      <c r="AG145">
        <f>SUMIFS(StandardName[IDinTheRanking],StandardName[StandardizedName],Analiza_wRankingach[[#This Row],[Nazwa uczelni]],StandardName[Ranking],"=Webometrics")</f>
        <v>82</v>
      </c>
      <c r="AH145">
        <f>SUM(Analiza_wRankingach[[#This Row],[THE_ID]:[Webometrics_ID]])</f>
        <v>82</v>
      </c>
      <c r="AI145" t="str">
        <f>IF(Analiza_wRankingach[[#This Row],[LiczbaWystąpień]]&gt;=T146,"OK","UWAGA")</f>
        <v>OK</v>
      </c>
    </row>
    <row r="146" spans="1:35" x14ac:dyDescent="0.45">
      <c r="A146">
        <v>144</v>
      </c>
      <c r="B146" t="str">
        <f>Analiza_wRankingach[[#This Row],[Nazwa uczelni]]</f>
        <v>Virginia Polytechnic Institute and State University</v>
      </c>
      <c r="C146">
        <f>Analiza_wRankingach[[#This Row],[WartośćKontrolna]]</f>
        <v>833</v>
      </c>
      <c r="D146">
        <f>Analiza_wRankingach[[#This Row],[THE_RV]]</f>
        <v>0</v>
      </c>
      <c r="E146">
        <f>Analiza_wRankingach[[#This Row],[ARWU_RV]]</f>
        <v>0</v>
      </c>
      <c r="F146">
        <f>Analiza_wRankingach[[#This Row],[QS_RV]]</f>
        <v>0</v>
      </c>
      <c r="G146">
        <f>Analiza_wRankingach[[#This Row],[Webometrics_RV]]</f>
        <v>83</v>
      </c>
      <c r="I146" t="s">
        <v>692</v>
      </c>
      <c r="J146">
        <v>44</v>
      </c>
      <c r="K146" t="s">
        <v>795</v>
      </c>
      <c r="L146">
        <v>44</v>
      </c>
      <c r="M146" t="s">
        <v>849</v>
      </c>
      <c r="O146" t="s">
        <v>833</v>
      </c>
      <c r="P146">
        <f>IF(SUMIFS(StandardName[IDinTheRanking],StandardName[StandardizedName],Analiza_wRankingach[[#This Row],[Nazwa uczelni]],StandardName[Ranking],"=THE")&gt;0,1,0)</f>
        <v>0</v>
      </c>
      <c r="Q146">
        <f>IF(SUMIFS(StandardName[IDinTheRanking],StandardName[StandardizedName],Analiza_wRankingach[[#This Row],[Nazwa uczelni]],StandardName[Ranking],"=ARWU")&gt;0,1,0)</f>
        <v>0</v>
      </c>
      <c r="R146">
        <f>IF(SUMIFS(StandardName[IDinTheRanking],StandardName[StandardizedName],Analiza_wRankingach[[#This Row],[Nazwa uczelni]],StandardName[Ranking],"=QS")&gt;0,1,0)</f>
        <v>0</v>
      </c>
      <c r="S146">
        <f>IF(SUMIFS(StandardName[IDinTheRanking],StandardName[StandardizedName],Analiza_wRankingach[[#This Row],[Nazwa uczelni]],StandardName[Ranking],"=Webometrics")&gt;0,1,0)</f>
        <v>1</v>
      </c>
      <c r="T146">
        <f>SUM(Analiza_wRankingach[[#This Row],[THE]:[Webometrics]])</f>
        <v>1</v>
      </c>
      <c r="U146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250</v>
      </c>
      <c r="V146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250</v>
      </c>
      <c r="W146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250</v>
      </c>
      <c r="X146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83</v>
      </c>
      <c r="Y146">
        <f>SUM(Analiza_wRankingach[[#This Row],[THE_RV1000]:[Webometrics_RV1000]])</f>
        <v>833</v>
      </c>
      <c r="Z146">
        <f>SUMIFS(StandardName[RankValueInTheRanking],StandardName[StandardizedName],Analiza_wRankingach[[#This Row],[Nazwa uczelni]],StandardName[Ranking],"=THE")</f>
        <v>0</v>
      </c>
      <c r="AA146">
        <f>SUMIFS(StandardName[RankValueInTheRanking],StandardName[StandardizedName],Analiza_wRankingach[[#This Row],[Nazwa uczelni]],StandardName[Ranking],"=ARWU")</f>
        <v>0</v>
      </c>
      <c r="AB146">
        <f>SUMIFS(StandardName[RankValueInTheRanking],StandardName[StandardizedName],Analiza_wRankingach[[#This Row],[Nazwa uczelni]],StandardName[Ranking],"=QS")</f>
        <v>0</v>
      </c>
      <c r="AC146">
        <f>SUMIFS(StandardName[RankValueInTheRanking],StandardName[StandardizedName],Analiza_wRankingach[[#This Row],[Nazwa uczelni]],StandardName[Ranking],"=Webometrics")</f>
        <v>83</v>
      </c>
      <c r="AD146">
        <f>SUMIFS(StandardName[IDinTheRanking],StandardName[StandardizedName],Analiza_wRankingach[[#This Row],[Nazwa uczelni]],StandardName[Ranking],"=THE")</f>
        <v>0</v>
      </c>
      <c r="AE146">
        <f>SUMIFS(StandardName[IDinTheRanking],StandardName[StandardizedName],Analiza_wRankingach[[#This Row],[Nazwa uczelni]],StandardName[Ranking],"=ARWU")</f>
        <v>0</v>
      </c>
      <c r="AF146">
        <f>SUMIFS(StandardName[IDinTheRanking],StandardName[StandardizedName],Analiza_wRankingach[[#This Row],[Nazwa uczelni]],StandardName[Ranking],"=QS")</f>
        <v>0</v>
      </c>
      <c r="AG146">
        <f>SUMIFS(StandardName[IDinTheRanking],StandardName[StandardizedName],Analiza_wRankingach[[#This Row],[Nazwa uczelni]],StandardName[Ranking],"=Webometrics")</f>
        <v>83</v>
      </c>
      <c r="AH146">
        <f>SUM(Analiza_wRankingach[[#This Row],[THE_ID]:[Webometrics_ID]])</f>
        <v>83</v>
      </c>
      <c r="AI146" t="str">
        <f>IF(Analiza_wRankingach[[#This Row],[LiczbaWystąpień]]&gt;=T147,"OK","UWAGA")</f>
        <v>OK</v>
      </c>
    </row>
    <row r="147" spans="1:35" x14ac:dyDescent="0.45">
      <c r="A147">
        <v>145</v>
      </c>
      <c r="B147" t="str">
        <f>Analiza_wRankingach[[#This Row],[Nazwa uczelni]]</f>
        <v>Technion-Israel Institute of Technology</v>
      </c>
      <c r="C147">
        <f>Analiza_wRankingach[[#This Row],[WartośćKontrolna]]</f>
        <v>833</v>
      </c>
      <c r="D147">
        <f>Analiza_wRankingach[[#This Row],[THE_RV]]</f>
        <v>0</v>
      </c>
      <c r="E147">
        <f>Analiza_wRankingach[[#This Row],[ARWU_RV]]</f>
        <v>83</v>
      </c>
      <c r="F147">
        <f>Analiza_wRankingach[[#This Row],[QS_RV]]</f>
        <v>0</v>
      </c>
      <c r="G147">
        <f>Analiza_wRankingach[[#This Row],[Webometrics_RV]]</f>
        <v>0</v>
      </c>
      <c r="I147" t="s">
        <v>694</v>
      </c>
      <c r="J147">
        <v>45</v>
      </c>
      <c r="K147" t="s">
        <v>810</v>
      </c>
      <c r="L147">
        <v>45</v>
      </c>
      <c r="M147" t="s">
        <v>849</v>
      </c>
      <c r="O147" t="s">
        <v>609</v>
      </c>
      <c r="P147">
        <f>IF(SUMIFS(StandardName[IDinTheRanking],StandardName[StandardizedName],Analiza_wRankingach[[#This Row],[Nazwa uczelni]],StandardName[Ranking],"=THE")&gt;0,1,0)</f>
        <v>0</v>
      </c>
      <c r="Q147">
        <f>IF(SUMIFS(StandardName[IDinTheRanking],StandardName[StandardizedName],Analiza_wRankingach[[#This Row],[Nazwa uczelni]],StandardName[Ranking],"=ARWU")&gt;0,1,0)</f>
        <v>1</v>
      </c>
      <c r="R147">
        <f>IF(SUMIFS(StandardName[IDinTheRanking],StandardName[StandardizedName],Analiza_wRankingach[[#This Row],[Nazwa uczelni]],StandardName[Ranking],"=QS")&gt;0,1,0)</f>
        <v>0</v>
      </c>
      <c r="S147">
        <f>IF(SUMIFS(StandardName[IDinTheRanking],StandardName[StandardizedName],Analiza_wRankingach[[#This Row],[Nazwa uczelni]],StandardName[Ranking],"=Webometrics")&gt;0,1,0)</f>
        <v>0</v>
      </c>
      <c r="T147">
        <f>SUM(Analiza_wRankingach[[#This Row],[THE]:[Webometrics]])</f>
        <v>1</v>
      </c>
      <c r="U147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250</v>
      </c>
      <c r="V147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83</v>
      </c>
      <c r="W147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250</v>
      </c>
      <c r="X147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250</v>
      </c>
      <c r="Y147">
        <f>SUM(Analiza_wRankingach[[#This Row],[THE_RV1000]:[Webometrics_RV1000]])</f>
        <v>833</v>
      </c>
      <c r="Z147">
        <f>SUMIFS(StandardName[RankValueInTheRanking],StandardName[StandardizedName],Analiza_wRankingach[[#This Row],[Nazwa uczelni]],StandardName[Ranking],"=THE")</f>
        <v>0</v>
      </c>
      <c r="AA147">
        <f>SUMIFS(StandardName[RankValueInTheRanking],StandardName[StandardizedName],Analiza_wRankingach[[#This Row],[Nazwa uczelni]],StandardName[Ranking],"=ARWU")</f>
        <v>83</v>
      </c>
      <c r="AB147">
        <f>SUMIFS(StandardName[RankValueInTheRanking],StandardName[StandardizedName],Analiza_wRankingach[[#This Row],[Nazwa uczelni]],StandardName[Ranking],"=QS")</f>
        <v>0</v>
      </c>
      <c r="AC147">
        <f>SUMIFS(StandardName[RankValueInTheRanking],StandardName[StandardizedName],Analiza_wRankingach[[#This Row],[Nazwa uczelni]],StandardName[Ranking],"=Webometrics")</f>
        <v>0</v>
      </c>
      <c r="AD147">
        <f>SUMIFS(StandardName[IDinTheRanking],StandardName[StandardizedName],Analiza_wRankingach[[#This Row],[Nazwa uczelni]],StandardName[Ranking],"=THE")</f>
        <v>0</v>
      </c>
      <c r="AE147">
        <f>SUMIFS(StandardName[IDinTheRanking],StandardName[StandardizedName],Analiza_wRankingach[[#This Row],[Nazwa uczelni]],StandardName[Ranking],"=ARWU")</f>
        <v>84</v>
      </c>
      <c r="AF147">
        <f>SUMIFS(StandardName[IDinTheRanking],StandardName[StandardizedName],Analiza_wRankingach[[#This Row],[Nazwa uczelni]],StandardName[Ranking],"=QS")</f>
        <v>0</v>
      </c>
      <c r="AG147">
        <f>SUMIFS(StandardName[IDinTheRanking],StandardName[StandardizedName],Analiza_wRankingach[[#This Row],[Nazwa uczelni]],StandardName[Ranking],"=Webometrics")</f>
        <v>0</v>
      </c>
      <c r="AH147">
        <f>SUM(Analiza_wRankingach[[#This Row],[THE_ID]:[Webometrics_ID]])</f>
        <v>84</v>
      </c>
      <c r="AI147" t="str">
        <f>IF(Analiza_wRankingach[[#This Row],[LiczbaWystąpień]]&gt;=T148,"OK","UWAGA")</f>
        <v>OK</v>
      </c>
    </row>
    <row r="148" spans="1:35" x14ac:dyDescent="0.45">
      <c r="A148">
        <v>146</v>
      </c>
      <c r="B148" t="str">
        <f>Analiza_wRankingach[[#This Row],[Nazwa uczelni]]</f>
        <v>University of Basel</v>
      </c>
      <c r="C148">
        <f>Analiza_wRankingach[[#This Row],[WartośćKontrolna]]</f>
        <v>833</v>
      </c>
      <c r="D148">
        <f>Analiza_wRankingach[[#This Row],[THE_RV]]</f>
        <v>0</v>
      </c>
      <c r="E148">
        <f>Analiza_wRankingach[[#This Row],[ARWU_RV]]</f>
        <v>83</v>
      </c>
      <c r="F148">
        <f>Analiza_wRankingach[[#This Row],[QS_RV]]</f>
        <v>0</v>
      </c>
      <c r="G148">
        <f>Analiza_wRankingach[[#This Row],[Webometrics_RV]]</f>
        <v>0</v>
      </c>
      <c r="I148" t="s">
        <v>286</v>
      </c>
      <c r="J148">
        <v>46</v>
      </c>
      <c r="K148" t="s">
        <v>286</v>
      </c>
      <c r="L148">
        <v>46</v>
      </c>
      <c r="M148" t="s">
        <v>849</v>
      </c>
      <c r="O148" t="s">
        <v>610</v>
      </c>
      <c r="P148">
        <f>IF(SUMIFS(StandardName[IDinTheRanking],StandardName[StandardizedName],Analiza_wRankingach[[#This Row],[Nazwa uczelni]],StandardName[Ranking],"=THE")&gt;0,1,0)</f>
        <v>0</v>
      </c>
      <c r="Q148">
        <f>IF(SUMIFS(StandardName[IDinTheRanking],StandardName[StandardizedName],Analiza_wRankingach[[#This Row],[Nazwa uczelni]],StandardName[Ranking],"=ARWU")&gt;0,1,0)</f>
        <v>1</v>
      </c>
      <c r="R148">
        <f>IF(SUMIFS(StandardName[IDinTheRanking],StandardName[StandardizedName],Analiza_wRankingach[[#This Row],[Nazwa uczelni]],StandardName[Ranking],"=QS")&gt;0,1,0)</f>
        <v>0</v>
      </c>
      <c r="S148">
        <f>IF(SUMIFS(StandardName[IDinTheRanking],StandardName[StandardizedName],Analiza_wRankingach[[#This Row],[Nazwa uczelni]],StandardName[Ranking],"=Webometrics")&gt;0,1,0)</f>
        <v>0</v>
      </c>
      <c r="T148">
        <f>SUM(Analiza_wRankingach[[#This Row],[THE]:[Webometrics]])</f>
        <v>1</v>
      </c>
      <c r="U148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250</v>
      </c>
      <c r="V148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83</v>
      </c>
      <c r="W148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250</v>
      </c>
      <c r="X148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250</v>
      </c>
      <c r="Y148">
        <f>SUM(Analiza_wRankingach[[#This Row],[THE_RV1000]:[Webometrics_RV1000]])</f>
        <v>833</v>
      </c>
      <c r="Z148">
        <f>SUMIFS(StandardName[RankValueInTheRanking],StandardName[StandardizedName],Analiza_wRankingach[[#This Row],[Nazwa uczelni]],StandardName[Ranking],"=THE")</f>
        <v>0</v>
      </c>
      <c r="AA148">
        <f>SUMIFS(StandardName[RankValueInTheRanking],StandardName[StandardizedName],Analiza_wRankingach[[#This Row],[Nazwa uczelni]],StandardName[Ranking],"=ARWU")</f>
        <v>83</v>
      </c>
      <c r="AB148">
        <f>SUMIFS(StandardName[RankValueInTheRanking],StandardName[StandardizedName],Analiza_wRankingach[[#This Row],[Nazwa uczelni]],StandardName[Ranking],"=QS")</f>
        <v>0</v>
      </c>
      <c r="AC148">
        <f>SUMIFS(StandardName[RankValueInTheRanking],StandardName[StandardizedName],Analiza_wRankingach[[#This Row],[Nazwa uczelni]],StandardName[Ranking],"=Webometrics")</f>
        <v>0</v>
      </c>
      <c r="AD148">
        <f>SUMIFS(StandardName[IDinTheRanking],StandardName[StandardizedName],Analiza_wRankingach[[#This Row],[Nazwa uczelni]],StandardName[Ranking],"=THE")</f>
        <v>0</v>
      </c>
      <c r="AE148">
        <f>SUMIFS(StandardName[IDinTheRanking],StandardName[StandardizedName],Analiza_wRankingach[[#This Row],[Nazwa uczelni]],StandardName[Ranking],"=ARWU")</f>
        <v>85</v>
      </c>
      <c r="AF148">
        <f>SUMIFS(StandardName[IDinTheRanking],StandardName[StandardizedName],Analiza_wRankingach[[#This Row],[Nazwa uczelni]],StandardName[Ranking],"=QS")</f>
        <v>0</v>
      </c>
      <c r="AG148">
        <f>SUMIFS(StandardName[IDinTheRanking],StandardName[StandardizedName],Analiza_wRankingach[[#This Row],[Nazwa uczelni]],StandardName[Ranking],"=Webometrics")</f>
        <v>0</v>
      </c>
      <c r="AH148">
        <f>SUM(Analiza_wRankingach[[#This Row],[THE_ID]:[Webometrics_ID]])</f>
        <v>85</v>
      </c>
      <c r="AI148" t="str">
        <f>IF(Analiza_wRankingach[[#This Row],[LiczbaWystąpień]]&gt;=T149,"OK","UWAGA")</f>
        <v>OK</v>
      </c>
    </row>
    <row r="149" spans="1:35" x14ac:dyDescent="0.45">
      <c r="A149">
        <v>147</v>
      </c>
      <c r="B149" t="str">
        <f>Analiza_wRankingach[[#This Row],[Nazwa uczelni]]</f>
        <v>Weizmann Institute of Science</v>
      </c>
      <c r="C149">
        <f>Analiza_wRankingach[[#This Row],[WartośćKontrolna]]</f>
        <v>833</v>
      </c>
      <c r="D149">
        <f>Analiza_wRankingach[[#This Row],[THE_RV]]</f>
        <v>0</v>
      </c>
      <c r="E149">
        <f>Analiza_wRankingach[[#This Row],[ARWU_RV]]</f>
        <v>83</v>
      </c>
      <c r="F149">
        <f>Analiza_wRankingach[[#This Row],[QS_RV]]</f>
        <v>0</v>
      </c>
      <c r="G149">
        <f>Analiza_wRankingach[[#This Row],[Webometrics_RV]]</f>
        <v>0</v>
      </c>
      <c r="I149" t="s">
        <v>225</v>
      </c>
      <c r="J149">
        <v>47</v>
      </c>
      <c r="K149" t="s">
        <v>225</v>
      </c>
      <c r="L149">
        <v>47</v>
      </c>
      <c r="M149" t="s">
        <v>849</v>
      </c>
      <c r="O149" t="s">
        <v>612</v>
      </c>
      <c r="P149">
        <f>IF(SUMIFS(StandardName[IDinTheRanking],StandardName[StandardizedName],Analiza_wRankingach[[#This Row],[Nazwa uczelni]],StandardName[Ranking],"=THE")&gt;0,1,0)</f>
        <v>0</v>
      </c>
      <c r="Q149">
        <f>IF(SUMIFS(StandardName[IDinTheRanking],StandardName[StandardizedName],Analiza_wRankingach[[#This Row],[Nazwa uczelni]],StandardName[Ranking],"=ARWU")&gt;0,1,0)</f>
        <v>1</v>
      </c>
      <c r="R149">
        <f>IF(SUMIFS(StandardName[IDinTheRanking],StandardName[StandardizedName],Analiza_wRankingach[[#This Row],[Nazwa uczelni]],StandardName[Ranking],"=QS")&gt;0,1,0)</f>
        <v>0</v>
      </c>
      <c r="S149">
        <f>IF(SUMIFS(StandardName[IDinTheRanking],StandardName[StandardizedName],Analiza_wRankingach[[#This Row],[Nazwa uczelni]],StandardName[Ranking],"=Webometrics")&gt;0,1,0)</f>
        <v>0</v>
      </c>
      <c r="T149">
        <f>SUM(Analiza_wRankingach[[#This Row],[THE]:[Webometrics]])</f>
        <v>1</v>
      </c>
      <c r="U149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250</v>
      </c>
      <c r="V149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83</v>
      </c>
      <c r="W149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250</v>
      </c>
      <c r="X149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250</v>
      </c>
      <c r="Y149">
        <f>SUM(Analiza_wRankingach[[#This Row],[THE_RV1000]:[Webometrics_RV1000]])</f>
        <v>833</v>
      </c>
      <c r="Z149">
        <f>SUMIFS(StandardName[RankValueInTheRanking],StandardName[StandardizedName],Analiza_wRankingach[[#This Row],[Nazwa uczelni]],StandardName[Ranking],"=THE")</f>
        <v>0</v>
      </c>
      <c r="AA149">
        <f>SUMIFS(StandardName[RankValueInTheRanking],StandardName[StandardizedName],Analiza_wRankingach[[#This Row],[Nazwa uczelni]],StandardName[Ranking],"=ARWU")</f>
        <v>83</v>
      </c>
      <c r="AB149">
        <f>SUMIFS(StandardName[RankValueInTheRanking],StandardName[StandardizedName],Analiza_wRankingach[[#This Row],[Nazwa uczelni]],StandardName[Ranking],"=QS")</f>
        <v>0</v>
      </c>
      <c r="AC149">
        <f>SUMIFS(StandardName[RankValueInTheRanking],StandardName[StandardizedName],Analiza_wRankingach[[#This Row],[Nazwa uczelni]],StandardName[Ranking],"=Webometrics")</f>
        <v>0</v>
      </c>
      <c r="AD149">
        <f>SUMIFS(StandardName[IDinTheRanking],StandardName[StandardizedName],Analiza_wRankingach[[#This Row],[Nazwa uczelni]],StandardName[Ranking],"=THE")</f>
        <v>0</v>
      </c>
      <c r="AE149">
        <f>SUMIFS(StandardName[IDinTheRanking],StandardName[StandardizedName],Analiza_wRankingach[[#This Row],[Nazwa uczelni]],StandardName[Ranking],"=ARWU")</f>
        <v>86</v>
      </c>
      <c r="AF149">
        <f>SUMIFS(StandardName[IDinTheRanking],StandardName[StandardizedName],Analiza_wRankingach[[#This Row],[Nazwa uczelni]],StandardName[Ranking],"=QS")</f>
        <v>0</v>
      </c>
      <c r="AG149">
        <f>SUMIFS(StandardName[IDinTheRanking],StandardName[StandardizedName],Analiza_wRankingach[[#This Row],[Nazwa uczelni]],StandardName[Ranking],"=Webometrics")</f>
        <v>0</v>
      </c>
      <c r="AH149">
        <f>SUM(Analiza_wRankingach[[#This Row],[THE_ID]:[Webometrics_ID]])</f>
        <v>86</v>
      </c>
      <c r="AI149" t="str">
        <f>IF(Analiza_wRankingach[[#This Row],[LiczbaWystąpień]]&gt;=T150,"OK","UWAGA")</f>
        <v>OK</v>
      </c>
    </row>
    <row r="150" spans="1:35" x14ac:dyDescent="0.45">
      <c r="A150">
        <v>148</v>
      </c>
      <c r="B150" t="str">
        <f>Analiza_wRankingach[[#This Row],[Nazwa uczelni]]</f>
        <v>University of Waterloo</v>
      </c>
      <c r="C150">
        <f>Analiza_wRankingach[[#This Row],[WartośćKontrolna]]</f>
        <v>835</v>
      </c>
      <c r="D150">
        <f>Analiza_wRankingach[[#This Row],[THE_RV]]</f>
        <v>0</v>
      </c>
      <c r="E150">
        <f>Analiza_wRankingach[[#This Row],[ARWU_RV]]</f>
        <v>0</v>
      </c>
      <c r="F150">
        <f>Analiza_wRankingach[[#This Row],[QS_RV]]</f>
        <v>0</v>
      </c>
      <c r="G150">
        <f>Analiza_wRankingach[[#This Row],[Webometrics_RV]]</f>
        <v>85</v>
      </c>
      <c r="I150" t="s">
        <v>466</v>
      </c>
      <c r="J150">
        <v>48</v>
      </c>
      <c r="K150" t="s">
        <v>466</v>
      </c>
      <c r="L150">
        <v>48</v>
      </c>
      <c r="M150" t="s">
        <v>849</v>
      </c>
      <c r="O150" t="s">
        <v>835</v>
      </c>
      <c r="P150">
        <f>IF(SUMIFS(StandardName[IDinTheRanking],StandardName[StandardizedName],Analiza_wRankingach[[#This Row],[Nazwa uczelni]],StandardName[Ranking],"=THE")&gt;0,1,0)</f>
        <v>0</v>
      </c>
      <c r="Q150">
        <f>IF(SUMIFS(StandardName[IDinTheRanking],StandardName[StandardizedName],Analiza_wRankingach[[#This Row],[Nazwa uczelni]],StandardName[Ranking],"=ARWU")&gt;0,1,0)</f>
        <v>0</v>
      </c>
      <c r="R150">
        <f>IF(SUMIFS(StandardName[IDinTheRanking],StandardName[StandardizedName],Analiza_wRankingach[[#This Row],[Nazwa uczelni]],StandardName[Ranking],"=QS")&gt;0,1,0)</f>
        <v>0</v>
      </c>
      <c r="S150">
        <f>IF(SUMIFS(StandardName[IDinTheRanking],StandardName[StandardizedName],Analiza_wRankingach[[#This Row],[Nazwa uczelni]],StandardName[Ranking],"=Webometrics")&gt;0,1,0)</f>
        <v>1</v>
      </c>
      <c r="T150">
        <f>SUM(Analiza_wRankingach[[#This Row],[THE]:[Webometrics]])</f>
        <v>1</v>
      </c>
      <c r="U150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250</v>
      </c>
      <c r="V150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250</v>
      </c>
      <c r="W150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250</v>
      </c>
      <c r="X150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85</v>
      </c>
      <c r="Y150">
        <f>SUM(Analiza_wRankingach[[#This Row],[THE_RV1000]:[Webometrics_RV1000]])</f>
        <v>835</v>
      </c>
      <c r="Z150">
        <f>SUMIFS(StandardName[RankValueInTheRanking],StandardName[StandardizedName],Analiza_wRankingach[[#This Row],[Nazwa uczelni]],StandardName[Ranking],"=THE")</f>
        <v>0</v>
      </c>
      <c r="AA150">
        <f>SUMIFS(StandardName[RankValueInTheRanking],StandardName[StandardizedName],Analiza_wRankingach[[#This Row],[Nazwa uczelni]],StandardName[Ranking],"=ARWU")</f>
        <v>0</v>
      </c>
      <c r="AB150">
        <f>SUMIFS(StandardName[RankValueInTheRanking],StandardName[StandardizedName],Analiza_wRankingach[[#This Row],[Nazwa uczelni]],StandardName[Ranking],"=QS")</f>
        <v>0</v>
      </c>
      <c r="AC150">
        <f>SUMIFS(StandardName[RankValueInTheRanking],StandardName[StandardizedName],Analiza_wRankingach[[#This Row],[Nazwa uczelni]],StandardName[Ranking],"=Webometrics")</f>
        <v>85</v>
      </c>
      <c r="AD150">
        <f>SUMIFS(StandardName[IDinTheRanking],StandardName[StandardizedName],Analiza_wRankingach[[#This Row],[Nazwa uczelni]],StandardName[Ranking],"=THE")</f>
        <v>0</v>
      </c>
      <c r="AE150">
        <f>SUMIFS(StandardName[IDinTheRanking],StandardName[StandardizedName],Analiza_wRankingach[[#This Row],[Nazwa uczelni]],StandardName[Ranking],"=ARWU")</f>
        <v>0</v>
      </c>
      <c r="AF150">
        <f>SUMIFS(StandardName[IDinTheRanking],StandardName[StandardizedName],Analiza_wRankingach[[#This Row],[Nazwa uczelni]],StandardName[Ranking],"=QS")</f>
        <v>0</v>
      </c>
      <c r="AG150">
        <f>SUMIFS(StandardName[IDinTheRanking],StandardName[StandardizedName],Analiza_wRankingach[[#This Row],[Nazwa uczelni]],StandardName[Ranking],"=Webometrics")</f>
        <v>85</v>
      </c>
      <c r="AH150">
        <f>SUM(Analiza_wRankingach[[#This Row],[THE_ID]:[Webometrics_ID]])</f>
        <v>85</v>
      </c>
      <c r="AI150" t="str">
        <f>IF(Analiza_wRankingach[[#This Row],[LiczbaWystąpień]]&gt;=T151,"OK","UWAGA")</f>
        <v>OK</v>
      </c>
    </row>
    <row r="151" spans="1:35" x14ac:dyDescent="0.45">
      <c r="A151">
        <v>149</v>
      </c>
      <c r="B151" t="str">
        <f>Analiza_wRankingach[[#This Row],[Nazwa uczelni]]</f>
        <v>Humboldt University of Berlin</v>
      </c>
      <c r="C151">
        <f>Analiza_wRankingach[[#This Row],[WartośćKontrolna]]</f>
        <v>836</v>
      </c>
      <c r="D151">
        <f>Analiza_wRankingach[[#This Row],[THE_RV]]</f>
        <v>86</v>
      </c>
      <c r="E151">
        <f>Analiza_wRankingach[[#This Row],[ARWU_RV]]</f>
        <v>0</v>
      </c>
      <c r="F151">
        <f>Analiza_wRankingach[[#This Row],[QS_RV]]</f>
        <v>0</v>
      </c>
      <c r="G151">
        <f>Analiza_wRankingach[[#This Row],[Webometrics_RV]]</f>
        <v>0</v>
      </c>
      <c r="I151" t="s">
        <v>173</v>
      </c>
      <c r="J151">
        <v>49</v>
      </c>
      <c r="K151" t="s">
        <v>173</v>
      </c>
      <c r="L151">
        <v>49</v>
      </c>
      <c r="M151" t="s">
        <v>849</v>
      </c>
      <c r="O151" t="s">
        <v>434</v>
      </c>
      <c r="P151">
        <f>IF(SUMIFS(StandardName[IDinTheRanking],StandardName[StandardizedName],Analiza_wRankingach[[#This Row],[Nazwa uczelni]],StandardName[Ranking],"=THE")&gt;0,1,0)</f>
        <v>1</v>
      </c>
      <c r="Q151">
        <f>IF(SUMIFS(StandardName[IDinTheRanking],StandardName[StandardizedName],Analiza_wRankingach[[#This Row],[Nazwa uczelni]],StandardName[Ranking],"=ARWU")&gt;0,1,0)</f>
        <v>0</v>
      </c>
      <c r="R151">
        <f>IF(SUMIFS(StandardName[IDinTheRanking],StandardName[StandardizedName],Analiza_wRankingach[[#This Row],[Nazwa uczelni]],StandardName[Ranking],"=QS")&gt;0,1,0)</f>
        <v>0</v>
      </c>
      <c r="S151">
        <f>IF(SUMIFS(StandardName[IDinTheRanking],StandardName[StandardizedName],Analiza_wRankingach[[#This Row],[Nazwa uczelni]],StandardName[Ranking],"=Webometrics")&gt;0,1,0)</f>
        <v>0</v>
      </c>
      <c r="T151">
        <f>SUM(Analiza_wRankingach[[#This Row],[THE]:[Webometrics]])</f>
        <v>1</v>
      </c>
      <c r="U151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86</v>
      </c>
      <c r="V151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250</v>
      </c>
      <c r="W151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250</v>
      </c>
      <c r="X151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250</v>
      </c>
      <c r="Y151">
        <f>SUM(Analiza_wRankingach[[#This Row],[THE_RV1000]:[Webometrics_RV1000]])</f>
        <v>836</v>
      </c>
      <c r="Z151">
        <f>SUMIFS(StandardName[RankValueInTheRanking],StandardName[StandardizedName],Analiza_wRankingach[[#This Row],[Nazwa uczelni]],StandardName[Ranking],"=THE")</f>
        <v>86</v>
      </c>
      <c r="AA151">
        <f>SUMIFS(StandardName[RankValueInTheRanking],StandardName[StandardizedName],Analiza_wRankingach[[#This Row],[Nazwa uczelni]],StandardName[Ranking],"=ARWU")</f>
        <v>0</v>
      </c>
      <c r="AB151">
        <f>SUMIFS(StandardName[RankValueInTheRanking],StandardName[StandardizedName],Analiza_wRankingach[[#This Row],[Nazwa uczelni]],StandardName[Ranking],"=QS")</f>
        <v>0</v>
      </c>
      <c r="AC151">
        <f>SUMIFS(StandardName[RankValueInTheRanking],StandardName[StandardizedName],Analiza_wRankingach[[#This Row],[Nazwa uczelni]],StandardName[Ranking],"=Webometrics")</f>
        <v>0</v>
      </c>
      <c r="AD151">
        <f>SUMIFS(StandardName[IDinTheRanking],StandardName[StandardizedName],Analiza_wRankingach[[#This Row],[Nazwa uczelni]],StandardName[Ranking],"=THE")</f>
        <v>86</v>
      </c>
      <c r="AE151">
        <f>SUMIFS(StandardName[IDinTheRanking],StandardName[StandardizedName],Analiza_wRankingach[[#This Row],[Nazwa uczelni]],StandardName[Ranking],"=ARWU")</f>
        <v>0</v>
      </c>
      <c r="AF151">
        <f>SUMIFS(StandardName[IDinTheRanking],StandardName[StandardizedName],Analiza_wRankingach[[#This Row],[Nazwa uczelni]],StandardName[Ranking],"=QS")</f>
        <v>0</v>
      </c>
      <c r="AG151">
        <f>SUMIFS(StandardName[IDinTheRanking],StandardName[StandardizedName],Analiza_wRankingach[[#This Row],[Nazwa uczelni]],StandardName[Ranking],"=Webometrics")</f>
        <v>0</v>
      </c>
      <c r="AH151">
        <f>SUM(Analiza_wRankingach[[#This Row],[THE_ID]:[Webometrics_ID]])</f>
        <v>86</v>
      </c>
      <c r="AI151" t="str">
        <f>IF(Analiza_wRankingach[[#This Row],[LiczbaWystąpień]]&gt;=T152,"OK","UWAGA")</f>
        <v>OK</v>
      </c>
    </row>
    <row r="152" spans="1:35" x14ac:dyDescent="0.45">
      <c r="A152">
        <v>150</v>
      </c>
      <c r="B152" t="str">
        <f>Analiza_wRankingach[[#This Row],[Nazwa uczelni]]</f>
        <v>Technische Universität München</v>
      </c>
      <c r="C152">
        <f>Analiza_wRankingach[[#This Row],[WartośćKontrolna]]</f>
        <v>836</v>
      </c>
      <c r="D152">
        <f>Analiza_wRankingach[[#This Row],[THE_RV]]</f>
        <v>0</v>
      </c>
      <c r="E152">
        <f>Analiza_wRankingach[[#This Row],[ARWU_RV]]</f>
        <v>0</v>
      </c>
      <c r="F152">
        <f>Analiza_wRankingach[[#This Row],[QS_RV]]</f>
        <v>0</v>
      </c>
      <c r="G152">
        <f>Analiza_wRankingach[[#This Row],[Webometrics_RV]]</f>
        <v>86</v>
      </c>
      <c r="I152" t="s">
        <v>145</v>
      </c>
      <c r="J152">
        <v>50</v>
      </c>
      <c r="K152" t="s">
        <v>145</v>
      </c>
      <c r="L152">
        <v>50</v>
      </c>
      <c r="M152" t="s">
        <v>849</v>
      </c>
      <c r="O152" t="s">
        <v>836</v>
      </c>
      <c r="P152">
        <f>IF(SUMIFS(StandardName[IDinTheRanking],StandardName[StandardizedName],Analiza_wRankingach[[#This Row],[Nazwa uczelni]],StandardName[Ranking],"=THE")&gt;0,1,0)</f>
        <v>0</v>
      </c>
      <c r="Q152">
        <f>IF(SUMIFS(StandardName[IDinTheRanking],StandardName[StandardizedName],Analiza_wRankingach[[#This Row],[Nazwa uczelni]],StandardName[Ranking],"=ARWU")&gt;0,1,0)</f>
        <v>0</v>
      </c>
      <c r="R152">
        <f>IF(SUMIFS(StandardName[IDinTheRanking],StandardName[StandardizedName],Analiza_wRankingach[[#This Row],[Nazwa uczelni]],StandardName[Ranking],"=QS")&gt;0,1,0)</f>
        <v>0</v>
      </c>
      <c r="S152">
        <f>IF(SUMIFS(StandardName[IDinTheRanking],StandardName[StandardizedName],Analiza_wRankingach[[#This Row],[Nazwa uczelni]],StandardName[Ranking],"=Webometrics")&gt;0,1,0)</f>
        <v>1</v>
      </c>
      <c r="T152">
        <f>SUM(Analiza_wRankingach[[#This Row],[THE]:[Webometrics]])</f>
        <v>1</v>
      </c>
      <c r="U152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250</v>
      </c>
      <c r="V152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250</v>
      </c>
      <c r="W152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250</v>
      </c>
      <c r="X152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86</v>
      </c>
      <c r="Y152">
        <f>SUM(Analiza_wRankingach[[#This Row],[THE_RV1000]:[Webometrics_RV1000]])</f>
        <v>836</v>
      </c>
      <c r="Z152">
        <f>SUMIFS(StandardName[RankValueInTheRanking],StandardName[StandardizedName],Analiza_wRankingach[[#This Row],[Nazwa uczelni]],StandardName[Ranking],"=THE")</f>
        <v>0</v>
      </c>
      <c r="AA152">
        <f>SUMIFS(StandardName[RankValueInTheRanking],StandardName[StandardizedName],Analiza_wRankingach[[#This Row],[Nazwa uczelni]],StandardName[Ranking],"=ARWU")</f>
        <v>0</v>
      </c>
      <c r="AB152">
        <f>SUMIFS(StandardName[RankValueInTheRanking],StandardName[StandardizedName],Analiza_wRankingach[[#This Row],[Nazwa uczelni]],StandardName[Ranking],"=QS")</f>
        <v>0</v>
      </c>
      <c r="AC152">
        <f>SUMIFS(StandardName[RankValueInTheRanking],StandardName[StandardizedName],Analiza_wRankingach[[#This Row],[Nazwa uczelni]],StandardName[Ranking],"=Webometrics")</f>
        <v>86</v>
      </c>
      <c r="AD152">
        <f>SUMIFS(StandardName[IDinTheRanking],StandardName[StandardizedName],Analiza_wRankingach[[#This Row],[Nazwa uczelni]],StandardName[Ranking],"=THE")</f>
        <v>0</v>
      </c>
      <c r="AE152">
        <f>SUMIFS(StandardName[IDinTheRanking],StandardName[StandardizedName],Analiza_wRankingach[[#This Row],[Nazwa uczelni]],StandardName[Ranking],"=ARWU")</f>
        <v>0</v>
      </c>
      <c r="AF152">
        <f>SUMIFS(StandardName[IDinTheRanking],StandardName[StandardizedName],Analiza_wRankingach[[#This Row],[Nazwa uczelni]],StandardName[Ranking],"=QS")</f>
        <v>0</v>
      </c>
      <c r="AG152">
        <f>SUMIFS(StandardName[IDinTheRanking],StandardName[StandardizedName],Analiza_wRankingach[[#This Row],[Nazwa uczelni]],StandardName[Ranking],"=Webometrics")</f>
        <v>86</v>
      </c>
      <c r="AH152">
        <f>SUM(Analiza_wRankingach[[#This Row],[THE_ID]:[Webometrics_ID]])</f>
        <v>86</v>
      </c>
      <c r="AI152" t="str">
        <f>IF(Analiza_wRankingach[[#This Row],[LiczbaWystąpień]]&gt;=T153,"OK","UWAGA")</f>
        <v>OK</v>
      </c>
    </row>
    <row r="153" spans="1:35" x14ac:dyDescent="0.45">
      <c r="A153">
        <v>151</v>
      </c>
      <c r="B153" t="str">
        <f>Analiza_wRankingach[[#This Row],[Nazwa uczelni]]</f>
        <v>University of Tübingen</v>
      </c>
      <c r="C153">
        <f>Analiza_wRankingach[[#This Row],[WartośćKontrolna]]</f>
        <v>836</v>
      </c>
      <c r="D153">
        <f>Analiza_wRankingach[[#This Row],[THE_RV]]</f>
        <v>86</v>
      </c>
      <c r="E153">
        <f>Analiza_wRankingach[[#This Row],[ARWU_RV]]</f>
        <v>0</v>
      </c>
      <c r="F153">
        <f>Analiza_wRankingach[[#This Row],[QS_RV]]</f>
        <v>0</v>
      </c>
      <c r="G153">
        <f>Analiza_wRankingach[[#This Row],[Webometrics_RV]]</f>
        <v>0</v>
      </c>
      <c r="I153" t="s">
        <v>289</v>
      </c>
      <c r="J153">
        <v>51</v>
      </c>
      <c r="K153" t="s">
        <v>816</v>
      </c>
      <c r="L153">
        <v>50</v>
      </c>
      <c r="M153" t="s">
        <v>849</v>
      </c>
      <c r="O153" t="s">
        <v>438</v>
      </c>
      <c r="P153">
        <f>IF(SUMIFS(StandardName[IDinTheRanking],StandardName[StandardizedName],Analiza_wRankingach[[#This Row],[Nazwa uczelni]],StandardName[Ranking],"=THE")&gt;0,1,0)</f>
        <v>1</v>
      </c>
      <c r="Q153">
        <f>IF(SUMIFS(StandardName[IDinTheRanking],StandardName[StandardizedName],Analiza_wRankingach[[#This Row],[Nazwa uczelni]],StandardName[Ranking],"=ARWU")&gt;0,1,0)</f>
        <v>0</v>
      </c>
      <c r="R153">
        <f>IF(SUMIFS(StandardName[IDinTheRanking],StandardName[StandardizedName],Analiza_wRankingach[[#This Row],[Nazwa uczelni]],StandardName[Ranking],"=QS")&gt;0,1,0)</f>
        <v>0</v>
      </c>
      <c r="S153">
        <f>IF(SUMIFS(StandardName[IDinTheRanking],StandardName[StandardizedName],Analiza_wRankingach[[#This Row],[Nazwa uczelni]],StandardName[Ranking],"=Webometrics")&gt;0,1,0)</f>
        <v>0</v>
      </c>
      <c r="T153">
        <f>SUM(Analiza_wRankingach[[#This Row],[THE]:[Webometrics]])</f>
        <v>1</v>
      </c>
      <c r="U153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86</v>
      </c>
      <c r="V153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250</v>
      </c>
      <c r="W153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250</v>
      </c>
      <c r="X153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250</v>
      </c>
      <c r="Y153">
        <f>SUM(Analiza_wRankingach[[#This Row],[THE_RV1000]:[Webometrics_RV1000]])</f>
        <v>836</v>
      </c>
      <c r="Z153">
        <f>SUMIFS(StandardName[RankValueInTheRanking],StandardName[StandardizedName],Analiza_wRankingach[[#This Row],[Nazwa uczelni]],StandardName[Ranking],"=THE")</f>
        <v>86</v>
      </c>
      <c r="AA153">
        <f>SUMIFS(StandardName[RankValueInTheRanking],StandardName[StandardizedName],Analiza_wRankingach[[#This Row],[Nazwa uczelni]],StandardName[Ranking],"=ARWU")</f>
        <v>0</v>
      </c>
      <c r="AB153">
        <f>SUMIFS(StandardName[RankValueInTheRanking],StandardName[StandardizedName],Analiza_wRankingach[[#This Row],[Nazwa uczelni]],StandardName[Ranking],"=QS")</f>
        <v>0</v>
      </c>
      <c r="AC153">
        <f>SUMIFS(StandardName[RankValueInTheRanking],StandardName[StandardizedName],Analiza_wRankingach[[#This Row],[Nazwa uczelni]],StandardName[Ranking],"=Webometrics")</f>
        <v>0</v>
      </c>
      <c r="AD153">
        <f>SUMIFS(StandardName[IDinTheRanking],StandardName[StandardizedName],Analiza_wRankingach[[#This Row],[Nazwa uczelni]],StandardName[Ranking],"=THE")</f>
        <v>87</v>
      </c>
      <c r="AE153">
        <f>SUMIFS(StandardName[IDinTheRanking],StandardName[StandardizedName],Analiza_wRankingach[[#This Row],[Nazwa uczelni]],StandardName[Ranking],"=ARWU")</f>
        <v>0</v>
      </c>
      <c r="AF153">
        <f>SUMIFS(StandardName[IDinTheRanking],StandardName[StandardizedName],Analiza_wRankingach[[#This Row],[Nazwa uczelni]],StandardName[Ranking],"=QS")</f>
        <v>0</v>
      </c>
      <c r="AG153">
        <f>SUMIFS(StandardName[IDinTheRanking],StandardName[StandardizedName],Analiza_wRankingach[[#This Row],[Nazwa uczelni]],StandardName[Ranking],"=Webometrics")</f>
        <v>0</v>
      </c>
      <c r="AH153">
        <f>SUM(Analiza_wRankingach[[#This Row],[THE_ID]:[Webometrics_ID]])</f>
        <v>87</v>
      </c>
      <c r="AI153" t="str">
        <f>IF(Analiza_wRankingach[[#This Row],[LiczbaWystąpień]]&gt;=T154,"OK","UWAGA")</f>
        <v>OK</v>
      </c>
    </row>
    <row r="154" spans="1:35" x14ac:dyDescent="0.45">
      <c r="A154">
        <v>152</v>
      </c>
      <c r="B154" t="str">
        <f>Analiza_wRankingach[[#This Row],[Nazwa uczelni]]</f>
        <v>The University of Auckland</v>
      </c>
      <c r="C154">
        <f>Analiza_wRankingach[[#This Row],[WartośćKontrolna]]</f>
        <v>837</v>
      </c>
      <c r="D154">
        <f>Analiza_wRankingach[[#This Row],[THE_RV]]</f>
        <v>0</v>
      </c>
      <c r="E154">
        <f>Analiza_wRankingach[[#This Row],[ARWU_RV]]</f>
        <v>0</v>
      </c>
      <c r="F154">
        <f>Analiza_wRankingach[[#This Row],[QS_RV]]</f>
        <v>87</v>
      </c>
      <c r="G154">
        <f>Analiza_wRankingach[[#This Row],[Webometrics_RV]]</f>
        <v>0</v>
      </c>
      <c r="I154" t="s">
        <v>162</v>
      </c>
      <c r="J154">
        <v>52</v>
      </c>
      <c r="K154" t="s">
        <v>162</v>
      </c>
      <c r="L154">
        <v>52</v>
      </c>
      <c r="M154" t="s">
        <v>849</v>
      </c>
      <c r="O154" t="s">
        <v>751</v>
      </c>
      <c r="P154">
        <f>IF(SUMIFS(StandardName[IDinTheRanking],StandardName[StandardizedName],Analiza_wRankingach[[#This Row],[Nazwa uczelni]],StandardName[Ranking],"=THE")&gt;0,1,0)</f>
        <v>0</v>
      </c>
      <c r="Q154">
        <f>IF(SUMIFS(StandardName[IDinTheRanking],StandardName[StandardizedName],Analiza_wRankingach[[#This Row],[Nazwa uczelni]],StandardName[Ranking],"=ARWU")&gt;0,1,0)</f>
        <v>0</v>
      </c>
      <c r="R154">
        <f>IF(SUMIFS(StandardName[IDinTheRanking],StandardName[StandardizedName],Analiza_wRankingach[[#This Row],[Nazwa uczelni]],StandardName[Ranking],"=QS")&gt;0,1,0)</f>
        <v>1</v>
      </c>
      <c r="S154">
        <f>IF(SUMIFS(StandardName[IDinTheRanking],StandardName[StandardizedName],Analiza_wRankingach[[#This Row],[Nazwa uczelni]],StandardName[Ranking],"=Webometrics")&gt;0,1,0)</f>
        <v>0</v>
      </c>
      <c r="T154">
        <f>SUM(Analiza_wRankingach[[#This Row],[THE]:[Webometrics]])</f>
        <v>1</v>
      </c>
      <c r="U154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250</v>
      </c>
      <c r="V154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250</v>
      </c>
      <c r="W154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87</v>
      </c>
      <c r="X154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250</v>
      </c>
      <c r="Y154">
        <f>SUM(Analiza_wRankingach[[#This Row],[THE_RV1000]:[Webometrics_RV1000]])</f>
        <v>837</v>
      </c>
      <c r="Z154">
        <f>SUMIFS(StandardName[RankValueInTheRanking],StandardName[StandardizedName],Analiza_wRankingach[[#This Row],[Nazwa uczelni]],StandardName[Ranking],"=THE")</f>
        <v>0</v>
      </c>
      <c r="AA154">
        <f>SUMIFS(StandardName[RankValueInTheRanking],StandardName[StandardizedName],Analiza_wRankingach[[#This Row],[Nazwa uczelni]],StandardName[Ranking],"=ARWU")</f>
        <v>0</v>
      </c>
      <c r="AB154">
        <f>SUMIFS(StandardName[RankValueInTheRanking],StandardName[StandardizedName],Analiza_wRankingach[[#This Row],[Nazwa uczelni]],StandardName[Ranking],"=QS")</f>
        <v>87</v>
      </c>
      <c r="AC154">
        <f>SUMIFS(StandardName[RankValueInTheRanking],StandardName[StandardizedName],Analiza_wRankingach[[#This Row],[Nazwa uczelni]],StandardName[Ranking],"=Webometrics")</f>
        <v>0</v>
      </c>
      <c r="AD154">
        <f>SUMIFS(StandardName[IDinTheRanking],StandardName[StandardizedName],Analiza_wRankingach[[#This Row],[Nazwa uczelni]],StandardName[Ranking],"=THE")</f>
        <v>0</v>
      </c>
      <c r="AE154">
        <f>SUMIFS(StandardName[IDinTheRanking],StandardName[StandardizedName],Analiza_wRankingach[[#This Row],[Nazwa uczelni]],StandardName[Ranking],"=ARWU")</f>
        <v>0</v>
      </c>
      <c r="AF154">
        <f>SUMIFS(StandardName[IDinTheRanking],StandardName[StandardizedName],Analiza_wRankingach[[#This Row],[Nazwa uczelni]],StandardName[Ranking],"=QS")</f>
        <v>87</v>
      </c>
      <c r="AG154">
        <f>SUMIFS(StandardName[IDinTheRanking],StandardName[StandardizedName],Analiza_wRankingach[[#This Row],[Nazwa uczelni]],StandardName[Ranking],"=Webometrics")</f>
        <v>0</v>
      </c>
      <c r="AH154">
        <f>SUM(Analiza_wRankingach[[#This Row],[THE_ID]:[Webometrics_ID]])</f>
        <v>87</v>
      </c>
      <c r="AI154" t="str">
        <f>IF(Analiza_wRankingach[[#This Row],[LiczbaWystąpień]]&gt;=T155,"OK","UWAGA")</f>
        <v>OK</v>
      </c>
    </row>
    <row r="155" spans="1:35" x14ac:dyDescent="0.45">
      <c r="A155">
        <v>153</v>
      </c>
      <c r="B155" t="str">
        <f>Analiza_wRankingach[[#This Row],[Nazwa uczelni]]</f>
        <v>KTH Royal Institute of Technology</v>
      </c>
      <c r="C155">
        <f>Analiza_wRankingach[[#This Row],[WartośćKontrolna]]</f>
        <v>839</v>
      </c>
      <c r="D155">
        <f>Analiza_wRankingach[[#This Row],[THE_RV]]</f>
        <v>0</v>
      </c>
      <c r="E155">
        <f>Analiza_wRankingach[[#This Row],[ARWU_RV]]</f>
        <v>0</v>
      </c>
      <c r="F155">
        <f>Analiza_wRankingach[[#This Row],[QS_RV]]</f>
        <v>89</v>
      </c>
      <c r="G155">
        <f>Analiza_wRankingach[[#This Row],[Webometrics_RV]]</f>
        <v>0</v>
      </c>
      <c r="I155" t="s">
        <v>702</v>
      </c>
      <c r="J155">
        <v>53</v>
      </c>
      <c r="K155" t="s">
        <v>797</v>
      </c>
      <c r="L155">
        <v>53</v>
      </c>
      <c r="M155" t="s">
        <v>849</v>
      </c>
      <c r="O155" t="s">
        <v>756</v>
      </c>
      <c r="P155">
        <f>IF(SUMIFS(StandardName[IDinTheRanking],StandardName[StandardizedName],Analiza_wRankingach[[#This Row],[Nazwa uczelni]],StandardName[Ranking],"=THE")&gt;0,1,0)</f>
        <v>0</v>
      </c>
      <c r="Q155">
        <f>IF(SUMIFS(StandardName[IDinTheRanking],StandardName[StandardizedName],Analiza_wRankingach[[#This Row],[Nazwa uczelni]],StandardName[Ranking],"=ARWU")&gt;0,1,0)</f>
        <v>0</v>
      </c>
      <c r="R155">
        <f>IF(SUMIFS(StandardName[IDinTheRanking],StandardName[StandardizedName],Analiza_wRankingach[[#This Row],[Nazwa uczelni]],StandardName[Ranking],"=QS")&gt;0,1,0)</f>
        <v>1</v>
      </c>
      <c r="S155">
        <f>IF(SUMIFS(StandardName[IDinTheRanking],StandardName[StandardizedName],Analiza_wRankingach[[#This Row],[Nazwa uczelni]],StandardName[Ranking],"=Webometrics")&gt;0,1,0)</f>
        <v>0</v>
      </c>
      <c r="T155">
        <f>SUM(Analiza_wRankingach[[#This Row],[THE]:[Webometrics]])</f>
        <v>1</v>
      </c>
      <c r="U155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250</v>
      </c>
      <c r="V155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250</v>
      </c>
      <c r="W155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89</v>
      </c>
      <c r="X155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250</v>
      </c>
      <c r="Y155">
        <f>SUM(Analiza_wRankingach[[#This Row],[THE_RV1000]:[Webometrics_RV1000]])</f>
        <v>839</v>
      </c>
      <c r="Z155">
        <f>SUMIFS(StandardName[RankValueInTheRanking],StandardName[StandardizedName],Analiza_wRankingach[[#This Row],[Nazwa uczelni]],StandardName[Ranking],"=THE")</f>
        <v>0</v>
      </c>
      <c r="AA155">
        <f>SUMIFS(StandardName[RankValueInTheRanking],StandardName[StandardizedName],Analiza_wRankingach[[#This Row],[Nazwa uczelni]],StandardName[Ranking],"=ARWU")</f>
        <v>0</v>
      </c>
      <c r="AB155">
        <f>SUMIFS(StandardName[RankValueInTheRanking],StandardName[StandardizedName],Analiza_wRankingach[[#This Row],[Nazwa uczelni]],StandardName[Ranking],"=QS")</f>
        <v>89</v>
      </c>
      <c r="AC155">
        <f>SUMIFS(StandardName[RankValueInTheRanking],StandardName[StandardizedName],Analiza_wRankingach[[#This Row],[Nazwa uczelni]],StandardName[Ranking],"=Webometrics")</f>
        <v>0</v>
      </c>
      <c r="AD155">
        <f>SUMIFS(StandardName[IDinTheRanking],StandardName[StandardizedName],Analiza_wRankingach[[#This Row],[Nazwa uczelni]],StandardName[Ranking],"=THE")</f>
        <v>0</v>
      </c>
      <c r="AE155">
        <f>SUMIFS(StandardName[IDinTheRanking],StandardName[StandardizedName],Analiza_wRankingach[[#This Row],[Nazwa uczelni]],StandardName[Ranking],"=ARWU")</f>
        <v>0</v>
      </c>
      <c r="AF155">
        <f>SUMIFS(StandardName[IDinTheRanking],StandardName[StandardizedName],Analiza_wRankingach[[#This Row],[Nazwa uczelni]],StandardName[Ranking],"=QS")</f>
        <v>89</v>
      </c>
      <c r="AG155">
        <f>SUMIFS(StandardName[IDinTheRanking],StandardName[StandardizedName],Analiza_wRankingach[[#This Row],[Nazwa uczelni]],StandardName[Ranking],"=Webometrics")</f>
        <v>0</v>
      </c>
      <c r="AH155">
        <f>SUM(Analiza_wRankingach[[#This Row],[THE_ID]:[Webometrics_ID]])</f>
        <v>89</v>
      </c>
      <c r="AI155" t="str">
        <f>IF(Analiza_wRankingach[[#This Row],[LiczbaWystąpień]]&gt;=T156,"OK","UWAGA")</f>
        <v>OK</v>
      </c>
    </row>
    <row r="156" spans="1:35" x14ac:dyDescent="0.45">
      <c r="A156">
        <v>154</v>
      </c>
      <c r="B156" t="str">
        <f>Analiza_wRankingach[[#This Row],[Nazwa uczelni]]</f>
        <v>Uppsala University</v>
      </c>
      <c r="C156">
        <f>Analiza_wRankingach[[#This Row],[WartośćKontrolna]]</f>
        <v>839</v>
      </c>
      <c r="D156">
        <f>Analiza_wRankingach[[#This Row],[THE_RV]]</f>
        <v>0</v>
      </c>
      <c r="E156">
        <f>Analiza_wRankingach[[#This Row],[ARWU_RV]]</f>
        <v>89</v>
      </c>
      <c r="F156">
        <f>Analiza_wRankingach[[#This Row],[QS_RV]]</f>
        <v>0</v>
      </c>
      <c r="G156">
        <f>Analiza_wRankingach[[#This Row],[Webometrics_RV]]</f>
        <v>0</v>
      </c>
      <c r="I156" t="s">
        <v>474</v>
      </c>
      <c r="J156">
        <v>54</v>
      </c>
      <c r="K156" t="s">
        <v>474</v>
      </c>
      <c r="L156">
        <v>54</v>
      </c>
      <c r="M156" t="s">
        <v>849</v>
      </c>
      <c r="O156" t="s">
        <v>615</v>
      </c>
      <c r="P156">
        <f>IF(SUMIFS(StandardName[IDinTheRanking],StandardName[StandardizedName],Analiza_wRankingach[[#This Row],[Nazwa uczelni]],StandardName[Ranking],"=THE")&gt;0,1,0)</f>
        <v>0</v>
      </c>
      <c r="Q156">
        <f>IF(SUMIFS(StandardName[IDinTheRanking],StandardName[StandardizedName],Analiza_wRankingach[[#This Row],[Nazwa uczelni]],StandardName[Ranking],"=ARWU")&gt;0,1,0)</f>
        <v>1</v>
      </c>
      <c r="R156">
        <f>IF(SUMIFS(StandardName[IDinTheRanking],StandardName[StandardizedName],Analiza_wRankingach[[#This Row],[Nazwa uczelni]],StandardName[Ranking],"=QS")&gt;0,1,0)</f>
        <v>0</v>
      </c>
      <c r="S156">
        <f>IF(SUMIFS(StandardName[IDinTheRanking],StandardName[StandardizedName],Analiza_wRankingach[[#This Row],[Nazwa uczelni]],StandardName[Ranking],"=Webometrics")&gt;0,1,0)</f>
        <v>0</v>
      </c>
      <c r="T156">
        <f>SUM(Analiza_wRankingach[[#This Row],[THE]:[Webometrics]])</f>
        <v>1</v>
      </c>
      <c r="U156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250</v>
      </c>
      <c r="V156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89</v>
      </c>
      <c r="W156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250</v>
      </c>
      <c r="X156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250</v>
      </c>
      <c r="Y156">
        <f>SUM(Analiza_wRankingach[[#This Row],[THE_RV1000]:[Webometrics_RV1000]])</f>
        <v>839</v>
      </c>
      <c r="Z156">
        <f>SUMIFS(StandardName[RankValueInTheRanking],StandardName[StandardizedName],Analiza_wRankingach[[#This Row],[Nazwa uczelni]],StandardName[Ranking],"=THE")</f>
        <v>0</v>
      </c>
      <c r="AA156">
        <f>SUMIFS(StandardName[RankValueInTheRanking],StandardName[StandardizedName],Analiza_wRankingach[[#This Row],[Nazwa uczelni]],StandardName[Ranking],"=ARWU")</f>
        <v>89</v>
      </c>
      <c r="AB156">
        <f>SUMIFS(StandardName[RankValueInTheRanking],StandardName[StandardizedName],Analiza_wRankingach[[#This Row],[Nazwa uczelni]],StandardName[Ranking],"=QS")</f>
        <v>0</v>
      </c>
      <c r="AC156">
        <f>SUMIFS(StandardName[RankValueInTheRanking],StandardName[StandardizedName],Analiza_wRankingach[[#This Row],[Nazwa uczelni]],StandardName[Ranking],"=Webometrics")</f>
        <v>0</v>
      </c>
      <c r="AD156">
        <f>SUMIFS(StandardName[IDinTheRanking],StandardName[StandardizedName],Analiza_wRankingach[[#This Row],[Nazwa uczelni]],StandardName[Ranking],"=THE")</f>
        <v>0</v>
      </c>
      <c r="AE156">
        <f>SUMIFS(StandardName[IDinTheRanking],StandardName[StandardizedName],Analiza_wRankingach[[#This Row],[Nazwa uczelni]],StandardName[Ranking],"=ARWU")</f>
        <v>89</v>
      </c>
      <c r="AF156">
        <f>SUMIFS(StandardName[IDinTheRanking],StandardName[StandardizedName],Analiza_wRankingach[[#This Row],[Nazwa uczelni]],StandardName[Ranking],"=QS")</f>
        <v>0</v>
      </c>
      <c r="AG156">
        <f>SUMIFS(StandardName[IDinTheRanking],StandardName[StandardizedName],Analiza_wRankingach[[#This Row],[Nazwa uczelni]],StandardName[Ranking],"=Webometrics")</f>
        <v>0</v>
      </c>
      <c r="AH156">
        <f>SUM(Analiza_wRankingach[[#This Row],[THE_ID]:[Webometrics_ID]])</f>
        <v>89</v>
      </c>
      <c r="AI156" t="str">
        <f>IF(Analiza_wRankingach[[#This Row],[LiczbaWystąpień]]&gt;=T157,"OK","UWAGA")</f>
        <v>OK</v>
      </c>
    </row>
    <row r="157" spans="1:35" x14ac:dyDescent="0.45">
      <c r="A157">
        <v>155</v>
      </c>
      <c r="B157" t="str">
        <f>Analiza_wRankingach[[#This Row],[Nazwa uczelni]]</f>
        <v>Stockholm University</v>
      </c>
      <c r="C157">
        <f>Analiza_wRankingach[[#This Row],[WartośćKontrolna]]</f>
        <v>840</v>
      </c>
      <c r="D157">
        <f>Analiza_wRankingach[[#This Row],[THE_RV]]</f>
        <v>0</v>
      </c>
      <c r="E157">
        <f>Analiza_wRankingach[[#This Row],[ARWU_RV]]</f>
        <v>90</v>
      </c>
      <c r="F157">
        <f>Analiza_wRankingach[[#This Row],[QS_RV]]</f>
        <v>0</v>
      </c>
      <c r="G157">
        <f>Analiza_wRankingach[[#This Row],[Webometrics_RV]]</f>
        <v>0</v>
      </c>
      <c r="I157" t="s">
        <v>705</v>
      </c>
      <c r="J157">
        <v>55</v>
      </c>
      <c r="K157" t="s">
        <v>705</v>
      </c>
      <c r="L157">
        <v>55</v>
      </c>
      <c r="M157" t="s">
        <v>849</v>
      </c>
      <c r="O157" t="s">
        <v>616</v>
      </c>
      <c r="P157">
        <f>IF(SUMIFS(StandardName[IDinTheRanking],StandardName[StandardizedName],Analiza_wRankingach[[#This Row],[Nazwa uczelni]],StandardName[Ranking],"=THE")&gt;0,1,0)</f>
        <v>0</v>
      </c>
      <c r="Q157">
        <f>IF(SUMIFS(StandardName[IDinTheRanking],StandardName[StandardizedName],Analiza_wRankingach[[#This Row],[Nazwa uczelni]],StandardName[Ranking],"=ARWU")&gt;0,1,0)</f>
        <v>1</v>
      </c>
      <c r="R157">
        <f>IF(SUMIFS(StandardName[IDinTheRanking],StandardName[StandardizedName],Analiza_wRankingach[[#This Row],[Nazwa uczelni]],StandardName[Ranking],"=QS")&gt;0,1,0)</f>
        <v>0</v>
      </c>
      <c r="S157">
        <f>IF(SUMIFS(StandardName[IDinTheRanking],StandardName[StandardizedName],Analiza_wRankingach[[#This Row],[Nazwa uczelni]],StandardName[Ranking],"=Webometrics")&gt;0,1,0)</f>
        <v>0</v>
      </c>
      <c r="T157">
        <f>SUM(Analiza_wRankingach[[#This Row],[THE]:[Webometrics]])</f>
        <v>1</v>
      </c>
      <c r="U157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250</v>
      </c>
      <c r="V157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90</v>
      </c>
      <c r="W157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250</v>
      </c>
      <c r="X157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250</v>
      </c>
      <c r="Y157">
        <f>SUM(Analiza_wRankingach[[#This Row],[THE_RV1000]:[Webometrics_RV1000]])</f>
        <v>840</v>
      </c>
      <c r="Z157">
        <f>SUMIFS(StandardName[RankValueInTheRanking],StandardName[StandardizedName],Analiza_wRankingach[[#This Row],[Nazwa uczelni]],StandardName[Ranking],"=THE")</f>
        <v>0</v>
      </c>
      <c r="AA157">
        <f>SUMIFS(StandardName[RankValueInTheRanking],StandardName[StandardizedName],Analiza_wRankingach[[#This Row],[Nazwa uczelni]],StandardName[Ranking],"=ARWU")</f>
        <v>90</v>
      </c>
      <c r="AB157">
        <f>SUMIFS(StandardName[RankValueInTheRanking],StandardName[StandardizedName],Analiza_wRankingach[[#This Row],[Nazwa uczelni]],StandardName[Ranking],"=QS")</f>
        <v>0</v>
      </c>
      <c r="AC157">
        <f>SUMIFS(StandardName[RankValueInTheRanking],StandardName[StandardizedName],Analiza_wRankingach[[#This Row],[Nazwa uczelni]],StandardName[Ranking],"=Webometrics")</f>
        <v>0</v>
      </c>
      <c r="AD157">
        <f>SUMIFS(StandardName[IDinTheRanking],StandardName[StandardizedName],Analiza_wRankingach[[#This Row],[Nazwa uczelni]],StandardName[Ranking],"=THE")</f>
        <v>0</v>
      </c>
      <c r="AE157">
        <f>SUMIFS(StandardName[IDinTheRanking],StandardName[StandardizedName],Analiza_wRankingach[[#This Row],[Nazwa uczelni]],StandardName[Ranking],"=ARWU")</f>
        <v>91</v>
      </c>
      <c r="AF157">
        <f>SUMIFS(StandardName[IDinTheRanking],StandardName[StandardizedName],Analiza_wRankingach[[#This Row],[Nazwa uczelni]],StandardName[Ranking],"=QS")</f>
        <v>0</v>
      </c>
      <c r="AG157">
        <f>SUMIFS(StandardName[IDinTheRanking],StandardName[StandardizedName],Analiza_wRankingach[[#This Row],[Nazwa uczelni]],StandardName[Ranking],"=Webometrics")</f>
        <v>0</v>
      </c>
      <c r="AH157">
        <f>SUM(Analiza_wRankingach[[#This Row],[THE_ID]:[Webometrics_ID]])</f>
        <v>91</v>
      </c>
      <c r="AI157" t="str">
        <f>IF(Analiza_wRankingach[[#This Row],[LiczbaWystąpień]]&gt;=T158,"OK","UWAGA")</f>
        <v>OK</v>
      </c>
    </row>
    <row r="158" spans="1:35" x14ac:dyDescent="0.45">
      <c r="A158">
        <v>156</v>
      </c>
      <c r="B158" t="str">
        <f>Analiza_wRankingach[[#This Row],[Nazwa uczelni]]</f>
        <v>Free University of Berlin</v>
      </c>
      <c r="C158">
        <f>Analiza_wRankingach[[#This Row],[WartośćKontrolna]]</f>
        <v>841</v>
      </c>
      <c r="D158">
        <f>Analiza_wRankingach[[#This Row],[THE_RV]]</f>
        <v>91</v>
      </c>
      <c r="E158">
        <f>Analiza_wRankingach[[#This Row],[ARWU_RV]]</f>
        <v>0</v>
      </c>
      <c r="F158">
        <f>Analiza_wRankingach[[#This Row],[QS_RV]]</f>
        <v>0</v>
      </c>
      <c r="G158">
        <f>Analiza_wRankingach[[#This Row],[Webometrics_RV]]</f>
        <v>0</v>
      </c>
      <c r="I158" t="s">
        <v>707</v>
      </c>
      <c r="J158">
        <v>56</v>
      </c>
      <c r="K158" t="s">
        <v>211</v>
      </c>
      <c r="L158">
        <v>56</v>
      </c>
      <c r="M158" t="s">
        <v>849</v>
      </c>
      <c r="O158" t="s">
        <v>451</v>
      </c>
      <c r="P158">
        <f>IF(SUMIFS(StandardName[IDinTheRanking],StandardName[StandardizedName],Analiza_wRankingach[[#This Row],[Nazwa uczelni]],StandardName[Ranking],"=THE")&gt;0,1,0)</f>
        <v>1</v>
      </c>
      <c r="Q158">
        <f>IF(SUMIFS(StandardName[IDinTheRanking],StandardName[StandardizedName],Analiza_wRankingach[[#This Row],[Nazwa uczelni]],StandardName[Ranking],"=ARWU")&gt;0,1,0)</f>
        <v>0</v>
      </c>
      <c r="R158">
        <f>IF(SUMIFS(StandardName[IDinTheRanking],StandardName[StandardizedName],Analiza_wRankingach[[#This Row],[Nazwa uczelni]],StandardName[Ranking],"=QS")&gt;0,1,0)</f>
        <v>0</v>
      </c>
      <c r="S158">
        <f>IF(SUMIFS(StandardName[IDinTheRanking],StandardName[StandardizedName],Analiza_wRankingach[[#This Row],[Nazwa uczelni]],StandardName[Ranking],"=Webometrics")&gt;0,1,0)</f>
        <v>0</v>
      </c>
      <c r="T158">
        <f>SUM(Analiza_wRankingach[[#This Row],[THE]:[Webometrics]])</f>
        <v>1</v>
      </c>
      <c r="U158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91</v>
      </c>
      <c r="V158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250</v>
      </c>
      <c r="W158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250</v>
      </c>
      <c r="X158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250</v>
      </c>
      <c r="Y158">
        <f>SUM(Analiza_wRankingach[[#This Row],[THE_RV1000]:[Webometrics_RV1000]])</f>
        <v>841</v>
      </c>
      <c r="Z158">
        <f>SUMIFS(StandardName[RankValueInTheRanking],StandardName[StandardizedName],Analiza_wRankingach[[#This Row],[Nazwa uczelni]],StandardName[Ranking],"=THE")</f>
        <v>91</v>
      </c>
      <c r="AA158">
        <f>SUMIFS(StandardName[RankValueInTheRanking],StandardName[StandardizedName],Analiza_wRankingach[[#This Row],[Nazwa uczelni]],StandardName[Ranking],"=ARWU")</f>
        <v>0</v>
      </c>
      <c r="AB158">
        <f>SUMIFS(StandardName[RankValueInTheRanking],StandardName[StandardizedName],Analiza_wRankingach[[#This Row],[Nazwa uczelni]],StandardName[Ranking],"=QS")</f>
        <v>0</v>
      </c>
      <c r="AC158">
        <f>SUMIFS(StandardName[RankValueInTheRanking],StandardName[StandardizedName],Analiza_wRankingach[[#This Row],[Nazwa uczelni]],StandardName[Ranking],"=Webometrics")</f>
        <v>0</v>
      </c>
      <c r="AD158">
        <f>SUMIFS(StandardName[IDinTheRanking],StandardName[StandardizedName],Analiza_wRankingach[[#This Row],[Nazwa uczelni]],StandardName[Ranking],"=THE")</f>
        <v>91</v>
      </c>
      <c r="AE158">
        <f>SUMIFS(StandardName[IDinTheRanking],StandardName[StandardizedName],Analiza_wRankingach[[#This Row],[Nazwa uczelni]],StandardName[Ranking],"=ARWU")</f>
        <v>0</v>
      </c>
      <c r="AF158">
        <f>SUMIFS(StandardName[IDinTheRanking],StandardName[StandardizedName],Analiza_wRankingach[[#This Row],[Nazwa uczelni]],StandardName[Ranking],"=QS")</f>
        <v>0</v>
      </c>
      <c r="AG158">
        <f>SUMIFS(StandardName[IDinTheRanking],StandardName[StandardizedName],Analiza_wRankingach[[#This Row],[Nazwa uczelni]],StandardName[Ranking],"=Webometrics")</f>
        <v>0</v>
      </c>
      <c r="AH158">
        <f>SUM(Analiza_wRankingach[[#This Row],[THE_ID]:[Webometrics_ID]])</f>
        <v>91</v>
      </c>
      <c r="AI158" t="str">
        <f>IF(Analiza_wRankingach[[#This Row],[LiczbaWystąpień]]&gt;=T159,"OK","UWAGA")</f>
        <v>OK</v>
      </c>
    </row>
    <row r="159" spans="1:35" x14ac:dyDescent="0.45">
      <c r="A159">
        <v>157</v>
      </c>
      <c r="B159" t="str">
        <f>Analiza_wRankingach[[#This Row],[Nazwa uczelni]]</f>
        <v>University of Birmingham</v>
      </c>
      <c r="C159">
        <f>Analiza_wRankingach[[#This Row],[WartośćKontrolna]]</f>
        <v>841</v>
      </c>
      <c r="D159">
        <f>Analiza_wRankingach[[#This Row],[THE_RV]]</f>
        <v>0</v>
      </c>
      <c r="E159">
        <f>Analiza_wRankingach[[#This Row],[ARWU_RV]]</f>
        <v>0</v>
      </c>
      <c r="F159">
        <f>Analiza_wRankingach[[#This Row],[QS_RV]]</f>
        <v>91</v>
      </c>
      <c r="G159">
        <f>Analiza_wRankingach[[#This Row],[Webometrics_RV]]</f>
        <v>0</v>
      </c>
      <c r="I159" t="s">
        <v>245</v>
      </c>
      <c r="J159">
        <v>57</v>
      </c>
      <c r="K159" t="s">
        <v>245</v>
      </c>
      <c r="L159">
        <v>57</v>
      </c>
      <c r="M159" t="s">
        <v>849</v>
      </c>
      <c r="O159" t="s">
        <v>761</v>
      </c>
      <c r="P159">
        <f>IF(SUMIFS(StandardName[IDinTheRanking],StandardName[StandardizedName],Analiza_wRankingach[[#This Row],[Nazwa uczelni]],StandardName[Ranking],"=THE")&gt;0,1,0)</f>
        <v>0</v>
      </c>
      <c r="Q159">
        <f>IF(SUMIFS(StandardName[IDinTheRanking],StandardName[StandardizedName],Analiza_wRankingach[[#This Row],[Nazwa uczelni]],StandardName[Ranking],"=ARWU")&gt;0,1,0)</f>
        <v>0</v>
      </c>
      <c r="R159">
        <f>IF(SUMIFS(StandardName[IDinTheRanking],StandardName[StandardizedName],Analiza_wRankingach[[#This Row],[Nazwa uczelni]],StandardName[Ranking],"=QS")&gt;0,1,0)</f>
        <v>1</v>
      </c>
      <c r="S159">
        <f>IF(SUMIFS(StandardName[IDinTheRanking],StandardName[StandardizedName],Analiza_wRankingach[[#This Row],[Nazwa uczelni]],StandardName[Ranking],"=Webometrics")&gt;0,1,0)</f>
        <v>0</v>
      </c>
      <c r="T159">
        <f>SUM(Analiza_wRankingach[[#This Row],[THE]:[Webometrics]])</f>
        <v>1</v>
      </c>
      <c r="U159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250</v>
      </c>
      <c r="V159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250</v>
      </c>
      <c r="W159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91</v>
      </c>
      <c r="X159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250</v>
      </c>
      <c r="Y159">
        <f>SUM(Analiza_wRankingach[[#This Row],[THE_RV1000]:[Webometrics_RV1000]])</f>
        <v>841</v>
      </c>
      <c r="Z159">
        <f>SUMIFS(StandardName[RankValueInTheRanking],StandardName[StandardizedName],Analiza_wRankingach[[#This Row],[Nazwa uczelni]],StandardName[Ranking],"=THE")</f>
        <v>0</v>
      </c>
      <c r="AA159">
        <f>SUMIFS(StandardName[RankValueInTheRanking],StandardName[StandardizedName],Analiza_wRankingach[[#This Row],[Nazwa uczelni]],StandardName[Ranking],"=ARWU")</f>
        <v>0</v>
      </c>
      <c r="AB159">
        <f>SUMIFS(StandardName[RankValueInTheRanking],StandardName[StandardizedName],Analiza_wRankingach[[#This Row],[Nazwa uczelni]],StandardName[Ranking],"=QS")</f>
        <v>91</v>
      </c>
      <c r="AC159">
        <f>SUMIFS(StandardName[RankValueInTheRanking],StandardName[StandardizedName],Analiza_wRankingach[[#This Row],[Nazwa uczelni]],StandardName[Ranking],"=Webometrics")</f>
        <v>0</v>
      </c>
      <c r="AD159">
        <f>SUMIFS(StandardName[IDinTheRanking],StandardName[StandardizedName],Analiza_wRankingach[[#This Row],[Nazwa uczelni]],StandardName[Ranking],"=THE")</f>
        <v>0</v>
      </c>
      <c r="AE159">
        <f>SUMIFS(StandardName[IDinTheRanking],StandardName[StandardizedName],Analiza_wRankingach[[#This Row],[Nazwa uczelni]],StandardName[Ranking],"=ARWU")</f>
        <v>0</v>
      </c>
      <c r="AF159">
        <f>SUMIFS(StandardName[IDinTheRanking],StandardName[StandardizedName],Analiza_wRankingach[[#This Row],[Nazwa uczelni]],StandardName[Ranking],"=QS")</f>
        <v>91</v>
      </c>
      <c r="AG159">
        <f>SUMIFS(StandardName[IDinTheRanking],StandardName[StandardizedName],Analiza_wRankingach[[#This Row],[Nazwa uczelni]],StandardName[Ranking],"=Webometrics")</f>
        <v>0</v>
      </c>
      <c r="AH159">
        <f>SUM(Analiza_wRankingach[[#This Row],[THE_ID]:[Webometrics_ID]])</f>
        <v>91</v>
      </c>
      <c r="AI159" t="str">
        <f>IF(Analiza_wRankingach[[#This Row],[LiczbaWystąpień]]&gt;=T160,"OK","UWAGA")</f>
        <v>OK</v>
      </c>
    </row>
    <row r="160" spans="1:35" x14ac:dyDescent="0.45">
      <c r="A160">
        <v>158</v>
      </c>
      <c r="B160" t="str">
        <f>Analiza_wRankingach[[#This Row],[Nazwa uczelni]]</f>
        <v>University of Calgary</v>
      </c>
      <c r="C160">
        <f>Analiza_wRankingach[[#This Row],[WartośćKontrolna]]</f>
        <v>841</v>
      </c>
      <c r="D160">
        <f>Analiza_wRankingach[[#This Row],[THE_RV]]</f>
        <v>0</v>
      </c>
      <c r="E160">
        <f>Analiza_wRankingach[[#This Row],[ARWU_RV]]</f>
        <v>0</v>
      </c>
      <c r="F160">
        <f>Analiza_wRankingach[[#This Row],[QS_RV]]</f>
        <v>0</v>
      </c>
      <c r="G160">
        <f>Analiza_wRankingach[[#This Row],[Webometrics_RV]]</f>
        <v>91</v>
      </c>
      <c r="I160" t="s">
        <v>326</v>
      </c>
      <c r="J160">
        <v>58</v>
      </c>
      <c r="K160" t="s">
        <v>326</v>
      </c>
      <c r="L160">
        <v>58</v>
      </c>
      <c r="M160" t="s">
        <v>849</v>
      </c>
      <c r="O160" t="s">
        <v>837</v>
      </c>
      <c r="P160">
        <f>IF(SUMIFS(StandardName[IDinTheRanking],StandardName[StandardizedName],Analiza_wRankingach[[#This Row],[Nazwa uczelni]],StandardName[Ranking],"=THE")&gt;0,1,0)</f>
        <v>0</v>
      </c>
      <c r="Q160">
        <f>IF(SUMIFS(StandardName[IDinTheRanking],StandardName[StandardizedName],Analiza_wRankingach[[#This Row],[Nazwa uczelni]],StandardName[Ranking],"=ARWU")&gt;0,1,0)</f>
        <v>0</v>
      </c>
      <c r="R160">
        <f>IF(SUMIFS(StandardName[IDinTheRanking],StandardName[StandardizedName],Analiza_wRankingach[[#This Row],[Nazwa uczelni]],StandardName[Ranking],"=QS")&gt;0,1,0)</f>
        <v>0</v>
      </c>
      <c r="S160">
        <f>IF(SUMIFS(StandardName[IDinTheRanking],StandardName[StandardizedName],Analiza_wRankingach[[#This Row],[Nazwa uczelni]],StandardName[Ranking],"=Webometrics")&gt;0,1,0)</f>
        <v>1</v>
      </c>
      <c r="T160">
        <f>SUM(Analiza_wRankingach[[#This Row],[THE]:[Webometrics]])</f>
        <v>1</v>
      </c>
      <c r="U160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250</v>
      </c>
      <c r="V160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250</v>
      </c>
      <c r="W160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250</v>
      </c>
      <c r="X160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91</v>
      </c>
      <c r="Y160">
        <f>SUM(Analiza_wRankingach[[#This Row],[THE_RV1000]:[Webometrics_RV1000]])</f>
        <v>841</v>
      </c>
      <c r="Z160">
        <f>SUMIFS(StandardName[RankValueInTheRanking],StandardName[StandardizedName],Analiza_wRankingach[[#This Row],[Nazwa uczelni]],StandardName[Ranking],"=THE")</f>
        <v>0</v>
      </c>
      <c r="AA160">
        <f>SUMIFS(StandardName[RankValueInTheRanking],StandardName[StandardizedName],Analiza_wRankingach[[#This Row],[Nazwa uczelni]],StandardName[Ranking],"=ARWU")</f>
        <v>0</v>
      </c>
      <c r="AB160">
        <f>SUMIFS(StandardName[RankValueInTheRanking],StandardName[StandardizedName],Analiza_wRankingach[[#This Row],[Nazwa uczelni]],StandardName[Ranking],"=QS")</f>
        <v>0</v>
      </c>
      <c r="AC160">
        <f>SUMIFS(StandardName[RankValueInTheRanking],StandardName[StandardizedName],Analiza_wRankingach[[#This Row],[Nazwa uczelni]],StandardName[Ranking],"=Webometrics")</f>
        <v>91</v>
      </c>
      <c r="AD160">
        <f>SUMIFS(StandardName[IDinTheRanking],StandardName[StandardizedName],Analiza_wRankingach[[#This Row],[Nazwa uczelni]],StandardName[Ranking],"=THE")</f>
        <v>0</v>
      </c>
      <c r="AE160">
        <f>SUMIFS(StandardName[IDinTheRanking],StandardName[StandardizedName],Analiza_wRankingach[[#This Row],[Nazwa uczelni]],StandardName[Ranking],"=ARWU")</f>
        <v>0</v>
      </c>
      <c r="AF160">
        <f>SUMIFS(StandardName[IDinTheRanking],StandardName[StandardizedName],Analiza_wRankingach[[#This Row],[Nazwa uczelni]],StandardName[Ranking],"=QS")</f>
        <v>0</v>
      </c>
      <c r="AG160">
        <f>SUMIFS(StandardName[IDinTheRanking],StandardName[StandardizedName],Analiza_wRankingach[[#This Row],[Nazwa uczelni]],StandardName[Ranking],"=Webometrics")</f>
        <v>91</v>
      </c>
      <c r="AH160">
        <f>SUM(Analiza_wRankingach[[#This Row],[THE_ID]:[Webometrics_ID]])</f>
        <v>91</v>
      </c>
      <c r="AI160" t="str">
        <f>IF(Analiza_wRankingach[[#This Row],[LiczbaWystąpień]]&gt;=T161,"OK","UWAGA")</f>
        <v>OK</v>
      </c>
    </row>
    <row r="161" spans="1:35" x14ac:dyDescent="0.45">
      <c r="A161">
        <v>159</v>
      </c>
      <c r="B161" t="str">
        <f>Analiza_wRankingach[[#This Row],[Nazwa uczelni]]</f>
        <v>Durham University</v>
      </c>
      <c r="C161">
        <f>Analiza_wRankingach[[#This Row],[WartośćKontrolna]]</f>
        <v>842</v>
      </c>
      <c r="D161">
        <f>Analiza_wRankingach[[#This Row],[THE_RV]]</f>
        <v>0</v>
      </c>
      <c r="E161">
        <f>Analiza_wRankingach[[#This Row],[ARWU_RV]]</f>
        <v>0</v>
      </c>
      <c r="F161">
        <f>Analiza_wRankingach[[#This Row],[QS_RV]]</f>
        <v>92</v>
      </c>
      <c r="G161">
        <f>Analiza_wRankingach[[#This Row],[Webometrics_RV]]</f>
        <v>0</v>
      </c>
      <c r="I161" t="s">
        <v>710</v>
      </c>
      <c r="J161">
        <v>59</v>
      </c>
      <c r="K161" t="s">
        <v>190</v>
      </c>
      <c r="L161">
        <v>59</v>
      </c>
      <c r="M161" t="s">
        <v>849</v>
      </c>
      <c r="O161" t="s">
        <v>763</v>
      </c>
      <c r="P161">
        <f>IF(SUMIFS(StandardName[IDinTheRanking],StandardName[StandardizedName],Analiza_wRankingach[[#This Row],[Nazwa uczelni]],StandardName[Ranking],"=THE")&gt;0,1,0)</f>
        <v>0</v>
      </c>
      <c r="Q161">
        <f>IF(SUMIFS(StandardName[IDinTheRanking],StandardName[StandardizedName],Analiza_wRankingach[[#This Row],[Nazwa uczelni]],StandardName[Ranking],"=ARWU")&gt;0,1,0)</f>
        <v>0</v>
      </c>
      <c r="R161">
        <f>IF(SUMIFS(StandardName[IDinTheRanking],StandardName[StandardizedName],Analiza_wRankingach[[#This Row],[Nazwa uczelni]],StandardName[Ranking],"=QS")&gt;0,1,0)</f>
        <v>1</v>
      </c>
      <c r="S161">
        <f>IF(SUMIFS(StandardName[IDinTheRanking],StandardName[StandardizedName],Analiza_wRankingach[[#This Row],[Nazwa uczelni]],StandardName[Ranking],"=Webometrics")&gt;0,1,0)</f>
        <v>0</v>
      </c>
      <c r="T161">
        <f>SUM(Analiza_wRankingach[[#This Row],[THE]:[Webometrics]])</f>
        <v>1</v>
      </c>
      <c r="U161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250</v>
      </c>
      <c r="V161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250</v>
      </c>
      <c r="W161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92</v>
      </c>
      <c r="X161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250</v>
      </c>
      <c r="Y161">
        <f>SUM(Analiza_wRankingach[[#This Row],[THE_RV1000]:[Webometrics_RV1000]])</f>
        <v>842</v>
      </c>
      <c r="Z161">
        <f>SUMIFS(StandardName[RankValueInTheRanking],StandardName[StandardizedName],Analiza_wRankingach[[#This Row],[Nazwa uczelni]],StandardName[Ranking],"=THE")</f>
        <v>0</v>
      </c>
      <c r="AA161">
        <f>SUMIFS(StandardName[RankValueInTheRanking],StandardName[StandardizedName],Analiza_wRankingach[[#This Row],[Nazwa uczelni]],StandardName[Ranking],"=ARWU")</f>
        <v>0</v>
      </c>
      <c r="AB161">
        <f>SUMIFS(StandardName[RankValueInTheRanking],StandardName[StandardizedName],Analiza_wRankingach[[#This Row],[Nazwa uczelni]],StandardName[Ranking],"=QS")</f>
        <v>92</v>
      </c>
      <c r="AC161">
        <f>SUMIFS(StandardName[RankValueInTheRanking],StandardName[StandardizedName],Analiza_wRankingach[[#This Row],[Nazwa uczelni]],StandardName[Ranking],"=Webometrics")</f>
        <v>0</v>
      </c>
      <c r="AD161">
        <f>SUMIFS(StandardName[IDinTheRanking],StandardName[StandardizedName],Analiza_wRankingach[[#This Row],[Nazwa uczelni]],StandardName[Ranking],"=THE")</f>
        <v>0</v>
      </c>
      <c r="AE161">
        <f>SUMIFS(StandardName[IDinTheRanking],StandardName[StandardizedName],Analiza_wRankingach[[#This Row],[Nazwa uczelni]],StandardName[Ranking],"=ARWU")</f>
        <v>0</v>
      </c>
      <c r="AF161">
        <f>SUMIFS(StandardName[IDinTheRanking],StandardName[StandardizedName],Analiza_wRankingach[[#This Row],[Nazwa uczelni]],StandardName[Ranking],"=QS")</f>
        <v>92</v>
      </c>
      <c r="AG161">
        <f>SUMIFS(StandardName[IDinTheRanking],StandardName[StandardizedName],Analiza_wRankingach[[#This Row],[Nazwa uczelni]],StandardName[Ranking],"=Webometrics")</f>
        <v>0</v>
      </c>
      <c r="AH161">
        <f>SUM(Analiza_wRankingach[[#This Row],[THE_ID]:[Webometrics_ID]])</f>
        <v>92</v>
      </c>
      <c r="AI161" t="str">
        <f>IF(Analiza_wRankingach[[#This Row],[LiczbaWystąpień]]&gt;=T162,"OK","UWAGA")</f>
        <v>OK</v>
      </c>
    </row>
    <row r="162" spans="1:35" x14ac:dyDescent="0.45">
      <c r="A162">
        <v>160</v>
      </c>
      <c r="B162" t="str">
        <f>Analiza_wRankingach[[#This Row],[Nazwa uczelni]]</f>
        <v>University of Bern</v>
      </c>
      <c r="C162">
        <f>Analiza_wRankingach[[#This Row],[WartośćKontrolna]]</f>
        <v>844</v>
      </c>
      <c r="D162">
        <f>Analiza_wRankingach[[#This Row],[THE_RV]]</f>
        <v>94</v>
      </c>
      <c r="E162">
        <f>Analiza_wRankingach[[#This Row],[ARWU_RV]]</f>
        <v>0</v>
      </c>
      <c r="F162">
        <f>Analiza_wRankingach[[#This Row],[QS_RV]]</f>
        <v>0</v>
      </c>
      <c r="G162">
        <f>Analiza_wRankingach[[#This Row],[Webometrics_RV]]</f>
        <v>0</v>
      </c>
      <c r="I162" t="s">
        <v>446</v>
      </c>
      <c r="J162">
        <v>60</v>
      </c>
      <c r="K162" t="s">
        <v>446</v>
      </c>
      <c r="L162">
        <v>60</v>
      </c>
      <c r="M162" t="s">
        <v>849</v>
      </c>
      <c r="O162" t="s">
        <v>460</v>
      </c>
      <c r="P162">
        <f>IF(SUMIFS(StandardName[IDinTheRanking],StandardName[StandardizedName],Analiza_wRankingach[[#This Row],[Nazwa uczelni]],StandardName[Ranking],"=THE")&gt;0,1,0)</f>
        <v>1</v>
      </c>
      <c r="Q162">
        <f>IF(SUMIFS(StandardName[IDinTheRanking],StandardName[StandardizedName],Analiza_wRankingach[[#This Row],[Nazwa uczelni]],StandardName[Ranking],"=ARWU")&gt;0,1,0)</f>
        <v>0</v>
      </c>
      <c r="R162">
        <f>IF(SUMIFS(StandardName[IDinTheRanking],StandardName[StandardizedName],Analiza_wRankingach[[#This Row],[Nazwa uczelni]],StandardName[Ranking],"=QS")&gt;0,1,0)</f>
        <v>0</v>
      </c>
      <c r="S162">
        <f>IF(SUMIFS(StandardName[IDinTheRanking],StandardName[StandardizedName],Analiza_wRankingach[[#This Row],[Nazwa uczelni]],StandardName[Ranking],"=Webometrics")&gt;0,1,0)</f>
        <v>0</v>
      </c>
      <c r="T162">
        <f>SUM(Analiza_wRankingach[[#This Row],[THE]:[Webometrics]])</f>
        <v>1</v>
      </c>
      <c r="U162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94</v>
      </c>
      <c r="V162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250</v>
      </c>
      <c r="W162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250</v>
      </c>
      <c r="X162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250</v>
      </c>
      <c r="Y162">
        <f>SUM(Analiza_wRankingach[[#This Row],[THE_RV1000]:[Webometrics_RV1000]])</f>
        <v>844</v>
      </c>
      <c r="Z162">
        <f>SUMIFS(StandardName[RankValueInTheRanking],StandardName[StandardizedName],Analiza_wRankingach[[#This Row],[Nazwa uczelni]],StandardName[Ranking],"=THE")</f>
        <v>94</v>
      </c>
      <c r="AA162">
        <f>SUMIFS(StandardName[RankValueInTheRanking],StandardName[StandardizedName],Analiza_wRankingach[[#This Row],[Nazwa uczelni]],StandardName[Ranking],"=ARWU")</f>
        <v>0</v>
      </c>
      <c r="AB162">
        <f>SUMIFS(StandardName[RankValueInTheRanking],StandardName[StandardizedName],Analiza_wRankingach[[#This Row],[Nazwa uczelni]],StandardName[Ranking],"=QS")</f>
        <v>0</v>
      </c>
      <c r="AC162">
        <f>SUMIFS(StandardName[RankValueInTheRanking],StandardName[StandardizedName],Analiza_wRankingach[[#This Row],[Nazwa uczelni]],StandardName[Ranking],"=Webometrics")</f>
        <v>0</v>
      </c>
      <c r="AD162">
        <f>SUMIFS(StandardName[IDinTheRanking],StandardName[StandardizedName],Analiza_wRankingach[[#This Row],[Nazwa uczelni]],StandardName[Ranking],"=THE")</f>
        <v>94</v>
      </c>
      <c r="AE162">
        <f>SUMIFS(StandardName[IDinTheRanking],StandardName[StandardizedName],Analiza_wRankingach[[#This Row],[Nazwa uczelni]],StandardName[Ranking],"=ARWU")</f>
        <v>0</v>
      </c>
      <c r="AF162">
        <f>SUMIFS(StandardName[IDinTheRanking],StandardName[StandardizedName],Analiza_wRankingach[[#This Row],[Nazwa uczelni]],StandardName[Ranking],"=QS")</f>
        <v>0</v>
      </c>
      <c r="AG162">
        <f>SUMIFS(StandardName[IDinTheRanking],StandardName[StandardizedName],Analiza_wRankingach[[#This Row],[Nazwa uczelni]],StandardName[Ranking],"=Webometrics")</f>
        <v>0</v>
      </c>
      <c r="AH162">
        <f>SUM(Analiza_wRankingach[[#This Row],[THE_ID]:[Webometrics_ID]])</f>
        <v>94</v>
      </c>
      <c r="AI162" t="str">
        <f>IF(Analiza_wRankingach[[#This Row],[LiczbaWystąpień]]&gt;=T163,"OK","UWAGA")</f>
        <v>OK</v>
      </c>
    </row>
    <row r="163" spans="1:35" x14ac:dyDescent="0.45">
      <c r="A163">
        <v>161</v>
      </c>
      <c r="B163" t="str">
        <f>Analiza_wRankingach[[#This Row],[Nazwa uczelni]]</f>
        <v>Lund University</v>
      </c>
      <c r="C163">
        <f>Analiza_wRankingach[[#This Row],[WartośćKontrolna]]</f>
        <v>845</v>
      </c>
      <c r="D163">
        <f>Analiza_wRankingach[[#This Row],[THE_RV]]</f>
        <v>0</v>
      </c>
      <c r="E163">
        <f>Analiza_wRankingach[[#This Row],[ARWU_RV]]</f>
        <v>0</v>
      </c>
      <c r="F163">
        <f>Analiza_wRankingach[[#This Row],[QS_RV]]</f>
        <v>95</v>
      </c>
      <c r="G163">
        <f>Analiza_wRankingach[[#This Row],[Webometrics_RV]]</f>
        <v>0</v>
      </c>
      <c r="I163" t="s">
        <v>369</v>
      </c>
      <c r="J163">
        <v>61</v>
      </c>
      <c r="K163" t="s">
        <v>369</v>
      </c>
      <c r="L163">
        <v>61</v>
      </c>
      <c r="M163" t="s">
        <v>849</v>
      </c>
      <c r="O163" t="s">
        <v>770</v>
      </c>
      <c r="P163">
        <f>IF(SUMIFS(StandardName[IDinTheRanking],StandardName[StandardizedName],Analiza_wRankingach[[#This Row],[Nazwa uczelni]],StandardName[Ranking],"=THE")&gt;0,1,0)</f>
        <v>0</v>
      </c>
      <c r="Q163">
        <f>IF(SUMIFS(StandardName[IDinTheRanking],StandardName[StandardizedName],Analiza_wRankingach[[#This Row],[Nazwa uczelni]],StandardName[Ranking],"=ARWU")&gt;0,1,0)</f>
        <v>0</v>
      </c>
      <c r="R163">
        <f>IF(SUMIFS(StandardName[IDinTheRanking],StandardName[StandardizedName],Analiza_wRankingach[[#This Row],[Nazwa uczelni]],StandardName[Ranking],"=QS")&gt;0,1,0)</f>
        <v>1</v>
      </c>
      <c r="S163">
        <f>IF(SUMIFS(StandardName[IDinTheRanking],StandardName[StandardizedName],Analiza_wRankingach[[#This Row],[Nazwa uczelni]],StandardName[Ranking],"=Webometrics")&gt;0,1,0)</f>
        <v>0</v>
      </c>
      <c r="T163">
        <f>SUM(Analiza_wRankingach[[#This Row],[THE]:[Webometrics]])</f>
        <v>1</v>
      </c>
      <c r="U163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250</v>
      </c>
      <c r="V163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250</v>
      </c>
      <c r="W163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95</v>
      </c>
      <c r="X163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250</v>
      </c>
      <c r="Y163">
        <f>SUM(Analiza_wRankingach[[#This Row],[THE_RV1000]:[Webometrics_RV1000]])</f>
        <v>845</v>
      </c>
      <c r="Z163">
        <f>SUMIFS(StandardName[RankValueInTheRanking],StandardName[StandardizedName],Analiza_wRankingach[[#This Row],[Nazwa uczelni]],StandardName[Ranking],"=THE")</f>
        <v>0</v>
      </c>
      <c r="AA163">
        <f>SUMIFS(StandardName[RankValueInTheRanking],StandardName[StandardizedName],Analiza_wRankingach[[#This Row],[Nazwa uczelni]],StandardName[Ranking],"=ARWU")</f>
        <v>0</v>
      </c>
      <c r="AB163">
        <f>SUMIFS(StandardName[RankValueInTheRanking],StandardName[StandardizedName],Analiza_wRankingach[[#This Row],[Nazwa uczelni]],StandardName[Ranking],"=QS")</f>
        <v>95</v>
      </c>
      <c r="AC163">
        <f>SUMIFS(StandardName[RankValueInTheRanking],StandardName[StandardizedName],Analiza_wRankingach[[#This Row],[Nazwa uczelni]],StandardName[Ranking],"=Webometrics")</f>
        <v>0</v>
      </c>
      <c r="AD163">
        <f>SUMIFS(StandardName[IDinTheRanking],StandardName[StandardizedName],Analiza_wRankingach[[#This Row],[Nazwa uczelni]],StandardName[Ranking],"=THE")</f>
        <v>0</v>
      </c>
      <c r="AE163">
        <f>SUMIFS(StandardName[IDinTheRanking],StandardName[StandardizedName],Analiza_wRankingach[[#This Row],[Nazwa uczelni]],StandardName[Ranking],"=ARWU")</f>
        <v>0</v>
      </c>
      <c r="AF163">
        <f>SUMIFS(StandardName[IDinTheRanking],StandardName[StandardizedName],Analiza_wRankingach[[#This Row],[Nazwa uczelni]],StandardName[Ranking],"=QS")</f>
        <v>95</v>
      </c>
      <c r="AG163">
        <f>SUMIFS(StandardName[IDinTheRanking],StandardName[StandardizedName],Analiza_wRankingach[[#This Row],[Nazwa uczelni]],StandardName[Ranking],"=Webometrics")</f>
        <v>0</v>
      </c>
      <c r="AH163">
        <f>SUM(Analiza_wRankingach[[#This Row],[THE_ID]:[Webometrics_ID]])</f>
        <v>95</v>
      </c>
      <c r="AI163" t="str">
        <f>IF(Analiza_wRankingach[[#This Row],[LiczbaWystąpień]]&gt;=T164,"OK","UWAGA")</f>
        <v>OK</v>
      </c>
    </row>
    <row r="164" spans="1:35" x14ac:dyDescent="0.45">
      <c r="A164">
        <v>162</v>
      </c>
      <c r="B164" t="str">
        <f>Analiza_wRankingach[[#This Row],[Nazwa uczelni]]</f>
        <v>Nanjing University</v>
      </c>
      <c r="C164">
        <f>Analiza_wRankingach[[#This Row],[WartośćKontrolna]]</f>
        <v>845</v>
      </c>
      <c r="D164">
        <f>Analiza_wRankingach[[#This Row],[THE_RV]]</f>
        <v>95</v>
      </c>
      <c r="E164">
        <f>Analiza_wRankingach[[#This Row],[ARWU_RV]]</f>
        <v>0</v>
      </c>
      <c r="F164">
        <f>Analiza_wRankingach[[#This Row],[QS_RV]]</f>
        <v>0</v>
      </c>
      <c r="G164">
        <f>Analiza_wRankingach[[#This Row],[Webometrics_RV]]</f>
        <v>0</v>
      </c>
      <c r="I164" t="s">
        <v>392</v>
      </c>
      <c r="J164">
        <v>62</v>
      </c>
      <c r="K164" t="s">
        <v>392</v>
      </c>
      <c r="L164">
        <v>61</v>
      </c>
      <c r="M164" t="s">
        <v>849</v>
      </c>
      <c r="O164" t="s">
        <v>469</v>
      </c>
      <c r="P164">
        <f>IF(SUMIFS(StandardName[IDinTheRanking],StandardName[StandardizedName],Analiza_wRankingach[[#This Row],[Nazwa uczelni]],StandardName[Ranking],"=THE")&gt;0,1,0)</f>
        <v>1</v>
      </c>
      <c r="Q164">
        <f>IF(SUMIFS(StandardName[IDinTheRanking],StandardName[StandardizedName],Analiza_wRankingach[[#This Row],[Nazwa uczelni]],StandardName[Ranking],"=ARWU")&gt;0,1,0)</f>
        <v>0</v>
      </c>
      <c r="R164">
        <f>IF(SUMIFS(StandardName[IDinTheRanking],StandardName[StandardizedName],Analiza_wRankingach[[#This Row],[Nazwa uczelni]],StandardName[Ranking],"=QS")&gt;0,1,0)</f>
        <v>0</v>
      </c>
      <c r="S164">
        <f>IF(SUMIFS(StandardName[IDinTheRanking],StandardName[StandardizedName],Analiza_wRankingach[[#This Row],[Nazwa uczelni]],StandardName[Ranking],"=Webometrics")&gt;0,1,0)</f>
        <v>0</v>
      </c>
      <c r="T164">
        <f>SUM(Analiza_wRankingach[[#This Row],[THE]:[Webometrics]])</f>
        <v>1</v>
      </c>
      <c r="U164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95</v>
      </c>
      <c r="V164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250</v>
      </c>
      <c r="W164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250</v>
      </c>
      <c r="X164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250</v>
      </c>
      <c r="Y164">
        <f>SUM(Analiza_wRankingach[[#This Row],[THE_RV1000]:[Webometrics_RV1000]])</f>
        <v>845</v>
      </c>
      <c r="Z164">
        <f>SUMIFS(StandardName[RankValueInTheRanking],StandardName[StandardizedName],Analiza_wRankingach[[#This Row],[Nazwa uczelni]],StandardName[Ranking],"=THE")</f>
        <v>95</v>
      </c>
      <c r="AA164">
        <f>SUMIFS(StandardName[RankValueInTheRanking],StandardName[StandardizedName],Analiza_wRankingach[[#This Row],[Nazwa uczelni]],StandardName[Ranking],"=ARWU")</f>
        <v>0</v>
      </c>
      <c r="AB164">
        <f>SUMIFS(StandardName[RankValueInTheRanking],StandardName[StandardizedName],Analiza_wRankingach[[#This Row],[Nazwa uczelni]],StandardName[Ranking],"=QS")</f>
        <v>0</v>
      </c>
      <c r="AC164">
        <f>SUMIFS(StandardName[RankValueInTheRanking],StandardName[StandardizedName],Analiza_wRankingach[[#This Row],[Nazwa uczelni]],StandardName[Ranking],"=Webometrics")</f>
        <v>0</v>
      </c>
      <c r="AD164">
        <f>SUMIFS(StandardName[IDinTheRanking],StandardName[StandardizedName],Analiza_wRankingach[[#This Row],[Nazwa uczelni]],StandardName[Ranking],"=THE")</f>
        <v>97</v>
      </c>
      <c r="AE164">
        <f>SUMIFS(StandardName[IDinTheRanking],StandardName[StandardizedName],Analiza_wRankingach[[#This Row],[Nazwa uczelni]],StandardName[Ranking],"=ARWU")</f>
        <v>0</v>
      </c>
      <c r="AF164">
        <f>SUMIFS(StandardName[IDinTheRanking],StandardName[StandardizedName],Analiza_wRankingach[[#This Row],[Nazwa uczelni]],StandardName[Ranking],"=QS")</f>
        <v>0</v>
      </c>
      <c r="AG164">
        <f>SUMIFS(StandardName[IDinTheRanking],StandardName[StandardizedName],Analiza_wRankingach[[#This Row],[Nazwa uczelni]],StandardName[Ranking],"=Webometrics")</f>
        <v>0</v>
      </c>
      <c r="AH164">
        <f>SUM(Analiza_wRankingach[[#This Row],[THE_ID]:[Webometrics_ID]])</f>
        <v>97</v>
      </c>
      <c r="AI164" t="str">
        <f>IF(Analiza_wRankingach[[#This Row],[LiczbaWystąpień]]&gt;=T165,"OK","UWAGA")</f>
        <v>OK</v>
      </c>
    </row>
    <row r="165" spans="1:35" x14ac:dyDescent="0.45">
      <c r="A165">
        <v>163</v>
      </c>
      <c r="B165" t="str">
        <f>Analiza_wRankingach[[#This Row],[Nazwa uczelni]]</f>
        <v>The University of Sheffield</v>
      </c>
      <c r="C165">
        <f>Analiza_wRankingach[[#This Row],[WartośćKontrolna]]</f>
        <v>846</v>
      </c>
      <c r="D165">
        <f>Analiza_wRankingach[[#This Row],[THE_RV]]</f>
        <v>0</v>
      </c>
      <c r="E165">
        <f>Analiza_wRankingach[[#This Row],[ARWU_RV]]</f>
        <v>0</v>
      </c>
      <c r="F165">
        <f>Analiza_wRankingach[[#This Row],[QS_RV]]</f>
        <v>96</v>
      </c>
      <c r="G165">
        <f>Analiza_wRankingach[[#This Row],[Webometrics_RV]]</f>
        <v>0</v>
      </c>
      <c r="I165" t="s">
        <v>332</v>
      </c>
      <c r="J165">
        <v>63</v>
      </c>
      <c r="K165" t="s">
        <v>332</v>
      </c>
      <c r="L165">
        <v>63</v>
      </c>
      <c r="M165" t="s">
        <v>849</v>
      </c>
      <c r="O165" t="s">
        <v>773</v>
      </c>
      <c r="P165">
        <f>IF(SUMIFS(StandardName[IDinTheRanking],StandardName[StandardizedName],Analiza_wRankingach[[#This Row],[Nazwa uczelni]],StandardName[Ranking],"=THE")&gt;0,1,0)</f>
        <v>0</v>
      </c>
      <c r="Q165">
        <f>IF(SUMIFS(StandardName[IDinTheRanking],StandardName[StandardizedName],Analiza_wRankingach[[#This Row],[Nazwa uczelni]],StandardName[Ranking],"=ARWU")&gt;0,1,0)</f>
        <v>0</v>
      </c>
      <c r="R165">
        <f>IF(SUMIFS(StandardName[IDinTheRanking],StandardName[StandardizedName],Analiza_wRankingach[[#This Row],[Nazwa uczelni]],StandardName[Ranking],"=QS")&gt;0,1,0)</f>
        <v>1</v>
      </c>
      <c r="S165">
        <f>IF(SUMIFS(StandardName[IDinTheRanking],StandardName[StandardizedName],Analiza_wRankingach[[#This Row],[Nazwa uczelni]],StandardName[Ranking],"=Webometrics")&gt;0,1,0)</f>
        <v>0</v>
      </c>
      <c r="T165">
        <f>SUM(Analiza_wRankingach[[#This Row],[THE]:[Webometrics]])</f>
        <v>1</v>
      </c>
      <c r="U165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250</v>
      </c>
      <c r="V165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250</v>
      </c>
      <c r="W165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96</v>
      </c>
      <c r="X165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250</v>
      </c>
      <c r="Y165">
        <f>SUM(Analiza_wRankingach[[#This Row],[THE_RV1000]:[Webometrics_RV1000]])</f>
        <v>846</v>
      </c>
      <c r="Z165">
        <f>SUMIFS(StandardName[RankValueInTheRanking],StandardName[StandardizedName],Analiza_wRankingach[[#This Row],[Nazwa uczelni]],StandardName[Ranking],"=THE")</f>
        <v>0</v>
      </c>
      <c r="AA165">
        <f>SUMIFS(StandardName[RankValueInTheRanking],StandardName[StandardizedName],Analiza_wRankingach[[#This Row],[Nazwa uczelni]],StandardName[Ranking],"=ARWU")</f>
        <v>0</v>
      </c>
      <c r="AB165">
        <f>SUMIFS(StandardName[RankValueInTheRanking],StandardName[StandardizedName],Analiza_wRankingach[[#This Row],[Nazwa uczelni]],StandardName[Ranking],"=QS")</f>
        <v>96</v>
      </c>
      <c r="AC165">
        <f>SUMIFS(StandardName[RankValueInTheRanking],StandardName[StandardizedName],Analiza_wRankingach[[#This Row],[Nazwa uczelni]],StandardName[Ranking],"=Webometrics")</f>
        <v>0</v>
      </c>
      <c r="AD165">
        <f>SUMIFS(StandardName[IDinTheRanking],StandardName[StandardizedName],Analiza_wRankingach[[#This Row],[Nazwa uczelni]],StandardName[Ranking],"=THE")</f>
        <v>0</v>
      </c>
      <c r="AE165">
        <f>SUMIFS(StandardName[IDinTheRanking],StandardName[StandardizedName],Analiza_wRankingach[[#This Row],[Nazwa uczelni]],StandardName[Ranking],"=ARWU")</f>
        <v>0</v>
      </c>
      <c r="AF165">
        <f>SUMIFS(StandardName[IDinTheRanking],StandardName[StandardizedName],Analiza_wRankingach[[#This Row],[Nazwa uczelni]],StandardName[Ranking],"=QS")</f>
        <v>96</v>
      </c>
      <c r="AG165">
        <f>SUMIFS(StandardName[IDinTheRanking],StandardName[StandardizedName],Analiza_wRankingach[[#This Row],[Nazwa uczelni]],StandardName[Ranking],"=Webometrics")</f>
        <v>0</v>
      </c>
      <c r="AH165">
        <f>SUM(Analiza_wRankingach[[#This Row],[THE_ID]:[Webometrics_ID]])</f>
        <v>96</v>
      </c>
      <c r="AI165" t="str">
        <f>IF(Analiza_wRankingach[[#This Row],[LiczbaWystąpień]]&gt;=T166,"OK","UWAGA")</f>
        <v>OK</v>
      </c>
    </row>
    <row r="166" spans="1:35" x14ac:dyDescent="0.45">
      <c r="A166">
        <v>164</v>
      </c>
      <c r="B166" t="str">
        <f>Analiza_wRankingach[[#This Row],[Nazwa uczelni]]</f>
        <v>Huazhong University of Science and Technology</v>
      </c>
      <c r="C166">
        <f>Analiza_wRankingach[[#This Row],[WartośćKontrolna]]</f>
        <v>846</v>
      </c>
      <c r="D166">
        <f>Analiza_wRankingach[[#This Row],[THE_RV]]</f>
        <v>0</v>
      </c>
      <c r="E166">
        <f>Analiza_wRankingach[[#This Row],[ARWU_RV]]</f>
        <v>96</v>
      </c>
      <c r="F166">
        <f>Analiza_wRankingach[[#This Row],[QS_RV]]</f>
        <v>0</v>
      </c>
      <c r="G166">
        <f>Analiza_wRankingach[[#This Row],[Webometrics_RV]]</f>
        <v>0</v>
      </c>
      <c r="I166" t="s">
        <v>715</v>
      </c>
      <c r="J166">
        <v>64</v>
      </c>
      <c r="K166" t="s">
        <v>715</v>
      </c>
      <c r="L166">
        <v>64</v>
      </c>
      <c r="M166" t="s">
        <v>849</v>
      </c>
      <c r="O166" t="s">
        <v>620</v>
      </c>
      <c r="P166">
        <f>IF(SUMIFS(StandardName[IDinTheRanking],StandardName[StandardizedName],Analiza_wRankingach[[#This Row],[Nazwa uczelni]],StandardName[Ranking],"=THE")&gt;0,1,0)</f>
        <v>0</v>
      </c>
      <c r="Q166">
        <f>IF(SUMIFS(StandardName[IDinTheRanking],StandardName[StandardizedName],Analiza_wRankingach[[#This Row],[Nazwa uczelni]],StandardName[Ranking],"=ARWU")&gt;0,1,0)</f>
        <v>1</v>
      </c>
      <c r="R166">
        <f>IF(SUMIFS(StandardName[IDinTheRanking],StandardName[StandardizedName],Analiza_wRankingach[[#This Row],[Nazwa uczelni]],StandardName[Ranking],"=QS")&gt;0,1,0)</f>
        <v>0</v>
      </c>
      <c r="S166">
        <f>IF(SUMIFS(StandardName[IDinTheRanking],StandardName[StandardizedName],Analiza_wRankingach[[#This Row],[Nazwa uczelni]],StandardName[Ranking],"=Webometrics")&gt;0,1,0)</f>
        <v>0</v>
      </c>
      <c r="T166">
        <f>SUM(Analiza_wRankingach[[#This Row],[THE]:[Webometrics]])</f>
        <v>1</v>
      </c>
      <c r="U166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250</v>
      </c>
      <c r="V166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96</v>
      </c>
      <c r="W166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250</v>
      </c>
      <c r="X166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250</v>
      </c>
      <c r="Y166">
        <f>SUM(Analiza_wRankingach[[#This Row],[THE_RV1000]:[Webometrics_RV1000]])</f>
        <v>846</v>
      </c>
      <c r="Z166">
        <f>SUMIFS(StandardName[RankValueInTheRanking],StandardName[StandardizedName],Analiza_wRankingach[[#This Row],[Nazwa uczelni]],StandardName[Ranking],"=THE")</f>
        <v>0</v>
      </c>
      <c r="AA166">
        <f>SUMIFS(StandardName[RankValueInTheRanking],StandardName[StandardizedName],Analiza_wRankingach[[#This Row],[Nazwa uczelni]],StandardName[Ranking],"=ARWU")</f>
        <v>96</v>
      </c>
      <c r="AB166">
        <f>SUMIFS(StandardName[RankValueInTheRanking],StandardName[StandardizedName],Analiza_wRankingach[[#This Row],[Nazwa uczelni]],StandardName[Ranking],"=QS")</f>
        <v>0</v>
      </c>
      <c r="AC166">
        <f>SUMIFS(StandardName[RankValueInTheRanking],StandardName[StandardizedName],Analiza_wRankingach[[#This Row],[Nazwa uczelni]],StandardName[Ranking],"=Webometrics")</f>
        <v>0</v>
      </c>
      <c r="AD166">
        <f>SUMIFS(StandardName[IDinTheRanking],StandardName[StandardizedName],Analiza_wRankingach[[#This Row],[Nazwa uczelni]],StandardName[Ranking],"=THE")</f>
        <v>0</v>
      </c>
      <c r="AE166">
        <f>SUMIFS(StandardName[IDinTheRanking],StandardName[StandardizedName],Analiza_wRankingach[[#This Row],[Nazwa uczelni]],StandardName[Ranking],"=ARWU")</f>
        <v>96</v>
      </c>
      <c r="AF166">
        <f>SUMIFS(StandardName[IDinTheRanking],StandardName[StandardizedName],Analiza_wRankingach[[#This Row],[Nazwa uczelni]],StandardName[Ranking],"=QS")</f>
        <v>0</v>
      </c>
      <c r="AG166">
        <f>SUMIFS(StandardName[IDinTheRanking],StandardName[StandardizedName],Analiza_wRankingach[[#This Row],[Nazwa uczelni]],StandardName[Ranking],"=Webometrics")</f>
        <v>0</v>
      </c>
      <c r="AH166">
        <f>SUM(Analiza_wRankingach[[#This Row],[THE_ID]:[Webometrics_ID]])</f>
        <v>96</v>
      </c>
      <c r="AI166" t="str">
        <f>IF(Analiza_wRankingach[[#This Row],[LiczbaWystąpień]]&gt;=T167,"OK","UWAGA")</f>
        <v>OK</v>
      </c>
    </row>
    <row r="167" spans="1:35" x14ac:dyDescent="0.45">
      <c r="A167">
        <v>165</v>
      </c>
      <c r="B167" t="str">
        <f>Analiza_wRankingach[[#This Row],[Nazwa uczelni]]</f>
        <v>University of St Andrews</v>
      </c>
      <c r="C167">
        <f>Analiza_wRankingach[[#This Row],[WartośćKontrolna]]</f>
        <v>846</v>
      </c>
      <c r="D167">
        <f>Analiza_wRankingach[[#This Row],[THE_RV]]</f>
        <v>0</v>
      </c>
      <c r="E167">
        <f>Analiza_wRankingach[[#This Row],[ARWU_RV]]</f>
        <v>0</v>
      </c>
      <c r="F167">
        <f>Analiza_wRankingach[[#This Row],[QS_RV]]</f>
        <v>96</v>
      </c>
      <c r="G167">
        <f>Analiza_wRankingach[[#This Row],[Webometrics_RV]]</f>
        <v>0</v>
      </c>
      <c r="I167" t="s">
        <v>239</v>
      </c>
      <c r="J167">
        <v>65</v>
      </c>
      <c r="K167" t="s">
        <v>239</v>
      </c>
      <c r="L167">
        <v>65</v>
      </c>
      <c r="M167" t="s">
        <v>849</v>
      </c>
      <c r="O167" t="s">
        <v>776</v>
      </c>
      <c r="P167">
        <f>IF(SUMIFS(StandardName[IDinTheRanking],StandardName[StandardizedName],Analiza_wRankingach[[#This Row],[Nazwa uczelni]],StandardName[Ranking],"=THE")&gt;0,1,0)</f>
        <v>0</v>
      </c>
      <c r="Q167">
        <f>IF(SUMIFS(StandardName[IDinTheRanking],StandardName[StandardizedName],Analiza_wRankingach[[#This Row],[Nazwa uczelni]],StandardName[Ranking],"=ARWU")&gt;0,1,0)</f>
        <v>0</v>
      </c>
      <c r="R167">
        <f>IF(SUMIFS(StandardName[IDinTheRanking],StandardName[StandardizedName],Analiza_wRankingach[[#This Row],[Nazwa uczelni]],StandardName[Ranking],"=QS")&gt;0,1,0)</f>
        <v>1</v>
      </c>
      <c r="S167">
        <f>IF(SUMIFS(StandardName[IDinTheRanking],StandardName[StandardizedName],Analiza_wRankingach[[#This Row],[Nazwa uczelni]],StandardName[Ranking],"=Webometrics")&gt;0,1,0)</f>
        <v>0</v>
      </c>
      <c r="T167">
        <f>SUM(Analiza_wRankingach[[#This Row],[THE]:[Webometrics]])</f>
        <v>1</v>
      </c>
      <c r="U167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250</v>
      </c>
      <c r="V167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250</v>
      </c>
      <c r="W167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96</v>
      </c>
      <c r="X167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250</v>
      </c>
      <c r="Y167">
        <f>SUM(Analiza_wRankingach[[#This Row],[THE_RV1000]:[Webometrics_RV1000]])</f>
        <v>846</v>
      </c>
      <c r="Z167">
        <f>SUMIFS(StandardName[RankValueInTheRanking],StandardName[StandardizedName],Analiza_wRankingach[[#This Row],[Nazwa uczelni]],StandardName[Ranking],"=THE")</f>
        <v>0</v>
      </c>
      <c r="AA167">
        <f>SUMIFS(StandardName[RankValueInTheRanking],StandardName[StandardizedName],Analiza_wRankingach[[#This Row],[Nazwa uczelni]],StandardName[Ranking],"=ARWU")</f>
        <v>0</v>
      </c>
      <c r="AB167">
        <f>SUMIFS(StandardName[RankValueInTheRanking],StandardName[StandardizedName],Analiza_wRankingach[[#This Row],[Nazwa uczelni]],StandardName[Ranking],"=QS")</f>
        <v>96</v>
      </c>
      <c r="AC167">
        <f>SUMIFS(StandardName[RankValueInTheRanking],StandardName[StandardizedName],Analiza_wRankingach[[#This Row],[Nazwa uczelni]],StandardName[Ranking],"=Webometrics")</f>
        <v>0</v>
      </c>
      <c r="AD167">
        <f>SUMIFS(StandardName[IDinTheRanking],StandardName[StandardizedName],Analiza_wRankingach[[#This Row],[Nazwa uczelni]],StandardName[Ranking],"=THE")</f>
        <v>0</v>
      </c>
      <c r="AE167">
        <f>SUMIFS(StandardName[IDinTheRanking],StandardName[StandardizedName],Analiza_wRankingach[[#This Row],[Nazwa uczelni]],StandardName[Ranking],"=ARWU")</f>
        <v>0</v>
      </c>
      <c r="AF167">
        <f>SUMIFS(StandardName[IDinTheRanking],StandardName[StandardizedName],Analiza_wRankingach[[#This Row],[Nazwa uczelni]],StandardName[Ranking],"=QS")</f>
        <v>97</v>
      </c>
      <c r="AG167">
        <f>SUMIFS(StandardName[IDinTheRanking],StandardName[StandardizedName],Analiza_wRankingach[[#This Row],[Nazwa uczelni]],StandardName[Ranking],"=Webometrics")</f>
        <v>0</v>
      </c>
      <c r="AH167">
        <f>SUM(Analiza_wRankingach[[#This Row],[THE_ID]:[Webometrics_ID]])</f>
        <v>97</v>
      </c>
      <c r="AI167" t="str">
        <f>IF(Analiza_wRankingach[[#This Row],[LiczbaWystąpień]]&gt;=T168,"OK","UWAGA")</f>
        <v>OK</v>
      </c>
    </row>
    <row r="168" spans="1:35" x14ac:dyDescent="0.45">
      <c r="A168">
        <v>166</v>
      </c>
      <c r="B168" t="str">
        <f>Analiza_wRankingach[[#This Row],[Nazwa uczelni]]</f>
        <v>Indiana University Bloomington</v>
      </c>
      <c r="C168">
        <f>Analiza_wRankingach[[#This Row],[WartośćKontrolna]]</f>
        <v>848</v>
      </c>
      <c r="D168">
        <f>Analiza_wRankingach[[#This Row],[THE_RV]]</f>
        <v>0</v>
      </c>
      <c r="E168">
        <f>Analiza_wRankingach[[#This Row],[ARWU_RV]]</f>
        <v>0</v>
      </c>
      <c r="F168">
        <f>Analiza_wRankingach[[#This Row],[QS_RV]]</f>
        <v>0</v>
      </c>
      <c r="G168">
        <f>Analiza_wRankingach[[#This Row],[Webometrics_RV]]</f>
        <v>98</v>
      </c>
      <c r="I168" t="s">
        <v>719</v>
      </c>
      <c r="J168">
        <v>66</v>
      </c>
      <c r="K168" t="s">
        <v>403</v>
      </c>
      <c r="L168">
        <v>65</v>
      </c>
      <c r="M168" t="s">
        <v>849</v>
      </c>
      <c r="O168" t="s">
        <v>844</v>
      </c>
      <c r="P168">
        <f>IF(SUMIFS(StandardName[IDinTheRanking],StandardName[StandardizedName],Analiza_wRankingach[[#This Row],[Nazwa uczelni]],StandardName[Ranking],"=THE")&gt;0,1,0)</f>
        <v>0</v>
      </c>
      <c r="Q168">
        <f>IF(SUMIFS(StandardName[IDinTheRanking],StandardName[StandardizedName],Analiza_wRankingach[[#This Row],[Nazwa uczelni]],StandardName[Ranking],"=ARWU")&gt;0,1,0)</f>
        <v>0</v>
      </c>
      <c r="R168">
        <f>IF(SUMIFS(StandardName[IDinTheRanking],StandardName[StandardizedName],Analiza_wRankingach[[#This Row],[Nazwa uczelni]],StandardName[Ranking],"=QS")&gt;0,1,0)</f>
        <v>0</v>
      </c>
      <c r="S168">
        <f>IF(SUMIFS(StandardName[IDinTheRanking],StandardName[StandardizedName],Analiza_wRankingach[[#This Row],[Nazwa uczelni]],StandardName[Ranking],"=Webometrics")&gt;0,1,0)</f>
        <v>1</v>
      </c>
      <c r="T168">
        <f>SUM(Analiza_wRankingach[[#This Row],[THE]:[Webometrics]])</f>
        <v>1</v>
      </c>
      <c r="U168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250</v>
      </c>
      <c r="V168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250</v>
      </c>
      <c r="W168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250</v>
      </c>
      <c r="X168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98</v>
      </c>
      <c r="Y168">
        <f>SUM(Analiza_wRankingach[[#This Row],[THE_RV1000]:[Webometrics_RV1000]])</f>
        <v>848</v>
      </c>
      <c r="Z168">
        <f>SUMIFS(StandardName[RankValueInTheRanking],StandardName[StandardizedName],Analiza_wRankingach[[#This Row],[Nazwa uczelni]],StandardName[Ranking],"=THE")</f>
        <v>0</v>
      </c>
      <c r="AA168">
        <f>SUMIFS(StandardName[RankValueInTheRanking],StandardName[StandardizedName],Analiza_wRankingach[[#This Row],[Nazwa uczelni]],StandardName[Ranking],"=ARWU")</f>
        <v>0</v>
      </c>
      <c r="AB168">
        <f>SUMIFS(StandardName[RankValueInTheRanking],StandardName[StandardizedName],Analiza_wRankingach[[#This Row],[Nazwa uczelni]],StandardName[Ranking],"=QS")</f>
        <v>0</v>
      </c>
      <c r="AC168">
        <f>SUMIFS(StandardName[RankValueInTheRanking],StandardName[StandardizedName],Analiza_wRankingach[[#This Row],[Nazwa uczelni]],StandardName[Ranking],"=Webometrics")</f>
        <v>98</v>
      </c>
      <c r="AD168">
        <f>SUMIFS(StandardName[IDinTheRanking],StandardName[StandardizedName],Analiza_wRankingach[[#This Row],[Nazwa uczelni]],StandardName[Ranking],"=THE")</f>
        <v>0</v>
      </c>
      <c r="AE168">
        <f>SUMIFS(StandardName[IDinTheRanking],StandardName[StandardizedName],Analiza_wRankingach[[#This Row],[Nazwa uczelni]],StandardName[Ranking],"=ARWU")</f>
        <v>0</v>
      </c>
      <c r="AF168">
        <f>SUMIFS(StandardName[IDinTheRanking],StandardName[StandardizedName],Analiza_wRankingach[[#This Row],[Nazwa uczelni]],StandardName[Ranking],"=QS")</f>
        <v>0</v>
      </c>
      <c r="AG168">
        <f>SUMIFS(StandardName[IDinTheRanking],StandardName[StandardizedName],Analiza_wRankingach[[#This Row],[Nazwa uczelni]],StandardName[Ranking],"=Webometrics")</f>
        <v>98</v>
      </c>
      <c r="AH168">
        <f>SUM(Analiza_wRankingach[[#This Row],[THE_ID]:[Webometrics_ID]])</f>
        <v>98</v>
      </c>
      <c r="AI168" t="str">
        <f>IF(Analiza_wRankingach[[#This Row],[LiczbaWystąpień]]&gt;=T169,"OK","UWAGA")</f>
        <v>OK</v>
      </c>
    </row>
    <row r="169" spans="1:35" x14ac:dyDescent="0.45">
      <c r="A169">
        <v>167</v>
      </c>
      <c r="B169" t="str">
        <f>Analiza_wRankingach[[#This Row],[Nazwa uczelni]]</f>
        <v>Trinity College Dublin, The University of Dublin</v>
      </c>
      <c r="C169">
        <f>Analiza_wRankingach[[#This Row],[WartośćKontrolna]]</f>
        <v>848</v>
      </c>
      <c r="D169">
        <f>Analiza_wRankingach[[#This Row],[THE_RV]]</f>
        <v>0</v>
      </c>
      <c r="E169">
        <f>Analiza_wRankingach[[#This Row],[ARWU_RV]]</f>
        <v>0</v>
      </c>
      <c r="F169">
        <f>Analiza_wRankingach[[#This Row],[QS_RV]]</f>
        <v>98</v>
      </c>
      <c r="G169">
        <f>Analiza_wRankingach[[#This Row],[Webometrics_RV]]</f>
        <v>0</v>
      </c>
      <c r="I169" t="s">
        <v>720</v>
      </c>
      <c r="J169">
        <v>67</v>
      </c>
      <c r="K169" t="s">
        <v>720</v>
      </c>
      <c r="L169">
        <v>67</v>
      </c>
      <c r="M169" t="s">
        <v>849</v>
      </c>
      <c r="O169" t="s">
        <v>778</v>
      </c>
      <c r="P169">
        <f>IF(SUMIFS(StandardName[IDinTheRanking],StandardName[StandardizedName],Analiza_wRankingach[[#This Row],[Nazwa uczelni]],StandardName[Ranking],"=THE")&gt;0,1,0)</f>
        <v>0</v>
      </c>
      <c r="Q169">
        <f>IF(SUMIFS(StandardName[IDinTheRanking],StandardName[StandardizedName],Analiza_wRankingach[[#This Row],[Nazwa uczelni]],StandardName[Ranking],"=ARWU")&gt;0,1,0)</f>
        <v>0</v>
      </c>
      <c r="R169">
        <f>IF(SUMIFS(StandardName[IDinTheRanking],StandardName[StandardizedName],Analiza_wRankingach[[#This Row],[Nazwa uczelni]],StandardName[Ranking],"=QS")&gt;0,1,0)</f>
        <v>1</v>
      </c>
      <c r="S169">
        <f>IF(SUMIFS(StandardName[IDinTheRanking],StandardName[StandardizedName],Analiza_wRankingach[[#This Row],[Nazwa uczelni]],StandardName[Ranking],"=Webometrics")&gt;0,1,0)</f>
        <v>0</v>
      </c>
      <c r="T169">
        <f>SUM(Analiza_wRankingach[[#This Row],[THE]:[Webometrics]])</f>
        <v>1</v>
      </c>
      <c r="U169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250</v>
      </c>
      <c r="V169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250</v>
      </c>
      <c r="W169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98</v>
      </c>
      <c r="X169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250</v>
      </c>
      <c r="Y169">
        <f>SUM(Analiza_wRankingach[[#This Row],[THE_RV1000]:[Webometrics_RV1000]])</f>
        <v>848</v>
      </c>
      <c r="Z169">
        <f>SUMIFS(StandardName[RankValueInTheRanking],StandardName[StandardizedName],Analiza_wRankingach[[#This Row],[Nazwa uczelni]],StandardName[Ranking],"=THE")</f>
        <v>0</v>
      </c>
      <c r="AA169">
        <f>SUMIFS(StandardName[RankValueInTheRanking],StandardName[StandardizedName],Analiza_wRankingach[[#This Row],[Nazwa uczelni]],StandardName[Ranking],"=ARWU")</f>
        <v>0</v>
      </c>
      <c r="AB169">
        <f>SUMIFS(StandardName[RankValueInTheRanking],StandardName[StandardizedName],Analiza_wRankingach[[#This Row],[Nazwa uczelni]],StandardName[Ranking],"=QS")</f>
        <v>98</v>
      </c>
      <c r="AC169">
        <f>SUMIFS(StandardName[RankValueInTheRanking],StandardName[StandardizedName],Analiza_wRankingach[[#This Row],[Nazwa uczelni]],StandardName[Ranking],"=Webometrics")</f>
        <v>0</v>
      </c>
      <c r="AD169">
        <f>SUMIFS(StandardName[IDinTheRanking],StandardName[StandardizedName],Analiza_wRankingach[[#This Row],[Nazwa uczelni]],StandardName[Ranking],"=THE")</f>
        <v>0</v>
      </c>
      <c r="AE169">
        <f>SUMIFS(StandardName[IDinTheRanking],StandardName[StandardizedName],Analiza_wRankingach[[#This Row],[Nazwa uczelni]],StandardName[Ranking],"=ARWU")</f>
        <v>0</v>
      </c>
      <c r="AF169">
        <f>SUMIFS(StandardName[IDinTheRanking],StandardName[StandardizedName],Analiza_wRankingach[[#This Row],[Nazwa uczelni]],StandardName[Ranking],"=QS")</f>
        <v>98</v>
      </c>
      <c r="AG169">
        <f>SUMIFS(StandardName[IDinTheRanking],StandardName[StandardizedName],Analiza_wRankingach[[#This Row],[Nazwa uczelni]],StandardName[Ranking],"=Webometrics")</f>
        <v>0</v>
      </c>
      <c r="AH169">
        <f>SUM(Analiza_wRankingach[[#This Row],[THE_ID]:[Webometrics_ID]])</f>
        <v>98</v>
      </c>
      <c r="AI169" t="str">
        <f>IF(Analiza_wRankingach[[#This Row],[LiczbaWystąpień]]&gt;=T170,"OK","UWAGA")</f>
        <v>OK</v>
      </c>
    </row>
    <row r="170" spans="1:35" x14ac:dyDescent="0.45">
      <c r="A170">
        <v>168</v>
      </c>
      <c r="B170" t="str">
        <f>Analiza_wRankingach[[#This Row],[Nazwa uczelni]]</f>
        <v>Sungkyunkwan University (SKKU)</v>
      </c>
      <c r="C170">
        <f>Analiza_wRankingach[[#This Row],[WartośćKontrolna]]</f>
        <v>849</v>
      </c>
      <c r="D170">
        <f>Analiza_wRankingach[[#This Row],[THE_RV]]</f>
        <v>0</v>
      </c>
      <c r="E170">
        <f>Analiza_wRankingach[[#This Row],[ARWU_RV]]</f>
        <v>0</v>
      </c>
      <c r="F170">
        <f>Analiza_wRankingach[[#This Row],[QS_RV]]</f>
        <v>99</v>
      </c>
      <c r="G170">
        <f>Analiza_wRankingach[[#This Row],[Webometrics_RV]]</f>
        <v>0</v>
      </c>
      <c r="I170" t="s">
        <v>722</v>
      </c>
      <c r="J170">
        <v>68</v>
      </c>
      <c r="K170" t="s">
        <v>722</v>
      </c>
      <c r="L170">
        <v>68</v>
      </c>
      <c r="M170" t="s">
        <v>849</v>
      </c>
      <c r="O170" t="s">
        <v>780</v>
      </c>
      <c r="P170">
        <f>IF(SUMIFS(StandardName[IDinTheRanking],StandardName[StandardizedName],Analiza_wRankingach[[#This Row],[Nazwa uczelni]],StandardName[Ranking],"=THE")&gt;0,1,0)</f>
        <v>0</v>
      </c>
      <c r="Q170">
        <f>IF(SUMIFS(StandardName[IDinTheRanking],StandardName[StandardizedName],Analiza_wRankingach[[#This Row],[Nazwa uczelni]],StandardName[Ranking],"=ARWU")&gt;0,1,0)</f>
        <v>0</v>
      </c>
      <c r="R170">
        <f>IF(SUMIFS(StandardName[IDinTheRanking],StandardName[StandardizedName],Analiza_wRankingach[[#This Row],[Nazwa uczelni]],StandardName[Ranking],"=QS")&gt;0,1,0)</f>
        <v>1</v>
      </c>
      <c r="S170">
        <f>IF(SUMIFS(StandardName[IDinTheRanking],StandardName[StandardizedName],Analiza_wRankingach[[#This Row],[Nazwa uczelni]],StandardName[Ranking],"=Webometrics")&gt;0,1,0)</f>
        <v>0</v>
      </c>
      <c r="T170">
        <f>SUM(Analiza_wRankingach[[#This Row],[THE]:[Webometrics]])</f>
        <v>1</v>
      </c>
      <c r="U170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250</v>
      </c>
      <c r="V170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250</v>
      </c>
      <c r="W170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99</v>
      </c>
      <c r="X170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250</v>
      </c>
      <c r="Y170">
        <f>SUM(Analiza_wRankingach[[#This Row],[THE_RV1000]:[Webometrics_RV1000]])</f>
        <v>849</v>
      </c>
      <c r="Z170">
        <f>SUMIFS(StandardName[RankValueInTheRanking],StandardName[StandardizedName],Analiza_wRankingach[[#This Row],[Nazwa uczelni]],StandardName[Ranking],"=THE")</f>
        <v>0</v>
      </c>
      <c r="AA170">
        <f>SUMIFS(StandardName[RankValueInTheRanking],StandardName[StandardizedName],Analiza_wRankingach[[#This Row],[Nazwa uczelni]],StandardName[Ranking],"=ARWU")</f>
        <v>0</v>
      </c>
      <c r="AB170">
        <f>SUMIFS(StandardName[RankValueInTheRanking],StandardName[StandardizedName],Analiza_wRankingach[[#This Row],[Nazwa uczelni]],StandardName[Ranking],"=QS")</f>
        <v>99</v>
      </c>
      <c r="AC170">
        <f>SUMIFS(StandardName[RankValueInTheRanking],StandardName[StandardizedName],Analiza_wRankingach[[#This Row],[Nazwa uczelni]],StandardName[Ranking],"=Webometrics")</f>
        <v>0</v>
      </c>
      <c r="AD170">
        <f>SUMIFS(StandardName[IDinTheRanking],StandardName[StandardizedName],Analiza_wRankingach[[#This Row],[Nazwa uczelni]],StandardName[Ranking],"=THE")</f>
        <v>0</v>
      </c>
      <c r="AE170">
        <f>SUMIFS(StandardName[IDinTheRanking],StandardName[StandardizedName],Analiza_wRankingach[[#This Row],[Nazwa uczelni]],StandardName[Ranking],"=ARWU")</f>
        <v>0</v>
      </c>
      <c r="AF170">
        <f>SUMIFS(StandardName[IDinTheRanking],StandardName[StandardizedName],Analiza_wRankingach[[#This Row],[Nazwa uczelni]],StandardName[Ranking],"=QS")</f>
        <v>99</v>
      </c>
      <c r="AG170">
        <f>SUMIFS(StandardName[IDinTheRanking],StandardName[StandardizedName],Analiza_wRankingach[[#This Row],[Nazwa uczelni]],StandardName[Ranking],"=Webometrics")</f>
        <v>0</v>
      </c>
      <c r="AH170">
        <f>SUM(Analiza_wRankingach[[#This Row],[THE_ID]:[Webometrics_ID]])</f>
        <v>99</v>
      </c>
      <c r="AI170" t="str">
        <f>IF(Analiza_wRankingach[[#This Row],[LiczbaWystąpień]]&gt;=T171,"OK","UWAGA")</f>
        <v>OK</v>
      </c>
    </row>
    <row r="171" spans="1:35" x14ac:dyDescent="0.45">
      <c r="A171">
        <v>169</v>
      </c>
      <c r="B171" t="str">
        <f>Analiza_wRankingach[[#This Row],[Nazwa uczelni]]</f>
        <v>RWTH Aachen University</v>
      </c>
      <c r="C171">
        <f>Analiza_wRankingach[[#This Row],[WartośćKontrolna]]</f>
        <v>849</v>
      </c>
      <c r="D171">
        <f>Analiza_wRankingach[[#This Row],[THE_RV]]</f>
        <v>99</v>
      </c>
      <c r="E171">
        <f>Analiza_wRankingach[[#This Row],[ARWU_RV]]</f>
        <v>0</v>
      </c>
      <c r="F171">
        <f>Analiza_wRankingach[[#This Row],[QS_RV]]</f>
        <v>0</v>
      </c>
      <c r="G171">
        <f>Analiza_wRankingach[[#This Row],[Webometrics_RV]]</f>
        <v>0</v>
      </c>
      <c r="I171" t="s">
        <v>456</v>
      </c>
      <c r="J171">
        <v>69</v>
      </c>
      <c r="K171" t="s">
        <v>456</v>
      </c>
      <c r="L171">
        <v>69</v>
      </c>
      <c r="M171" t="s">
        <v>849</v>
      </c>
      <c r="O171" t="s">
        <v>477</v>
      </c>
      <c r="P171">
        <f>IF(SUMIFS(StandardName[IDinTheRanking],StandardName[StandardizedName],Analiza_wRankingach[[#This Row],[Nazwa uczelni]],StandardName[Ranking],"=THE")&gt;0,1,0)</f>
        <v>1</v>
      </c>
      <c r="Q171">
        <f>IF(SUMIFS(StandardName[IDinTheRanking],StandardName[StandardizedName],Analiza_wRankingach[[#This Row],[Nazwa uczelni]],StandardName[Ranking],"=ARWU")&gt;0,1,0)</f>
        <v>0</v>
      </c>
      <c r="R171">
        <f>IF(SUMIFS(StandardName[IDinTheRanking],StandardName[StandardizedName],Analiza_wRankingach[[#This Row],[Nazwa uczelni]],StandardName[Ranking],"=QS")&gt;0,1,0)</f>
        <v>0</v>
      </c>
      <c r="S171">
        <f>IF(SUMIFS(StandardName[IDinTheRanking],StandardName[StandardizedName],Analiza_wRankingach[[#This Row],[Nazwa uczelni]],StandardName[Ranking],"=Webometrics")&gt;0,1,0)</f>
        <v>0</v>
      </c>
      <c r="T171">
        <f>SUM(Analiza_wRankingach[[#This Row],[THE]:[Webometrics]])</f>
        <v>1</v>
      </c>
      <c r="U171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99</v>
      </c>
      <c r="V171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250</v>
      </c>
      <c r="W171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250</v>
      </c>
      <c r="X171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250</v>
      </c>
      <c r="Y171">
        <f>SUM(Analiza_wRankingach[[#This Row],[THE_RV1000]:[Webometrics_RV1000]])</f>
        <v>849</v>
      </c>
      <c r="Z171">
        <f>SUMIFS(StandardName[RankValueInTheRanking],StandardName[StandardizedName],Analiza_wRankingach[[#This Row],[Nazwa uczelni]],StandardName[Ranking],"=THE")</f>
        <v>99</v>
      </c>
      <c r="AA171">
        <f>SUMIFS(StandardName[RankValueInTheRanking],StandardName[StandardizedName],Analiza_wRankingach[[#This Row],[Nazwa uczelni]],StandardName[Ranking],"=ARWU")</f>
        <v>0</v>
      </c>
      <c r="AB171">
        <f>SUMIFS(StandardName[RankValueInTheRanking],StandardName[StandardizedName],Analiza_wRankingach[[#This Row],[Nazwa uczelni]],StandardName[Ranking],"=QS")</f>
        <v>0</v>
      </c>
      <c r="AC171">
        <f>SUMIFS(StandardName[RankValueInTheRanking],StandardName[StandardizedName],Analiza_wRankingach[[#This Row],[Nazwa uczelni]],StandardName[Ranking],"=Webometrics")</f>
        <v>0</v>
      </c>
      <c r="AD171">
        <f>SUMIFS(StandardName[IDinTheRanking],StandardName[StandardizedName],Analiza_wRankingach[[#This Row],[Nazwa uczelni]],StandardName[Ranking],"=THE")</f>
        <v>100</v>
      </c>
      <c r="AE171">
        <f>SUMIFS(StandardName[IDinTheRanking],StandardName[StandardizedName],Analiza_wRankingach[[#This Row],[Nazwa uczelni]],StandardName[Ranking],"=ARWU")</f>
        <v>0</v>
      </c>
      <c r="AF171">
        <f>SUMIFS(StandardName[IDinTheRanking],StandardName[StandardizedName],Analiza_wRankingach[[#This Row],[Nazwa uczelni]],StandardName[Ranking],"=QS")</f>
        <v>0</v>
      </c>
      <c r="AG171">
        <f>SUMIFS(StandardName[IDinTheRanking],StandardName[StandardizedName],Analiza_wRankingach[[#This Row],[Nazwa uczelni]],StandardName[Ranking],"=Webometrics")</f>
        <v>0</v>
      </c>
      <c r="AH171">
        <f>SUM(Analiza_wRankingach[[#This Row],[THE_ID]:[Webometrics_ID]])</f>
        <v>100</v>
      </c>
      <c r="AI171" t="str">
        <f>IF(Analiza_wRankingach[[#This Row],[LiczbaWystąpień]]&gt;=T172,"OK","UWAGA")</f>
        <v>OK</v>
      </c>
    </row>
    <row r="172" spans="1:35" x14ac:dyDescent="0.45">
      <c r="A172">
        <v>170</v>
      </c>
      <c r="B172" t="str">
        <f>Analiza_wRankingach[[#This Row],[Nazwa uczelni]]</f>
        <v>Rice University</v>
      </c>
      <c r="C172">
        <f>Analiza_wRankingach[[#This Row],[WartośćKontrolna]]</f>
        <v>850</v>
      </c>
      <c r="D172">
        <f>Analiza_wRankingach[[#This Row],[THE_RV]]</f>
        <v>0</v>
      </c>
      <c r="E172">
        <f>Analiza_wRankingach[[#This Row],[ARWU_RV]]</f>
        <v>0</v>
      </c>
      <c r="F172">
        <f>Analiza_wRankingach[[#This Row],[QS_RV]]</f>
        <v>100</v>
      </c>
      <c r="G172">
        <f>Analiza_wRankingach[[#This Row],[Webometrics_RV]]</f>
        <v>0</v>
      </c>
      <c r="I172" t="s">
        <v>725</v>
      </c>
      <c r="J172">
        <v>70</v>
      </c>
      <c r="K172" t="s">
        <v>725</v>
      </c>
      <c r="L172">
        <v>70</v>
      </c>
      <c r="M172" t="s">
        <v>849</v>
      </c>
      <c r="O172" t="s">
        <v>782</v>
      </c>
      <c r="P172">
        <f>IF(SUMIFS(StandardName[IDinTheRanking],StandardName[StandardizedName],Analiza_wRankingach[[#This Row],[Nazwa uczelni]],StandardName[Ranking],"=THE")&gt;0,1,0)</f>
        <v>0</v>
      </c>
      <c r="Q172">
        <f>IF(SUMIFS(StandardName[IDinTheRanking],StandardName[StandardizedName],Analiza_wRankingach[[#This Row],[Nazwa uczelni]],StandardName[Ranking],"=ARWU")&gt;0,1,0)</f>
        <v>0</v>
      </c>
      <c r="R172">
        <f>IF(SUMIFS(StandardName[IDinTheRanking],StandardName[StandardizedName],Analiza_wRankingach[[#This Row],[Nazwa uczelni]],StandardName[Ranking],"=QS")&gt;0,1,0)</f>
        <v>1</v>
      </c>
      <c r="S172">
        <f>IF(SUMIFS(StandardName[IDinTheRanking],StandardName[StandardizedName],Analiza_wRankingach[[#This Row],[Nazwa uczelni]],StandardName[Ranking],"=Webometrics")&gt;0,1,0)</f>
        <v>0</v>
      </c>
      <c r="T172">
        <f>SUM(Analiza_wRankingach[[#This Row],[THE]:[Webometrics]])</f>
        <v>1</v>
      </c>
      <c r="U172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250</v>
      </c>
      <c r="V172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250</v>
      </c>
      <c r="W172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100</v>
      </c>
      <c r="X172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250</v>
      </c>
      <c r="Y172">
        <f>SUM(Analiza_wRankingach[[#This Row],[THE_RV1000]:[Webometrics_RV1000]])</f>
        <v>850</v>
      </c>
      <c r="Z172">
        <f>SUMIFS(StandardName[RankValueInTheRanking],StandardName[StandardizedName],Analiza_wRankingach[[#This Row],[Nazwa uczelni]],StandardName[Ranking],"=THE")</f>
        <v>0</v>
      </c>
      <c r="AA172">
        <f>SUMIFS(StandardName[RankValueInTheRanking],StandardName[StandardizedName],Analiza_wRankingach[[#This Row],[Nazwa uczelni]],StandardName[Ranking],"=ARWU")</f>
        <v>0</v>
      </c>
      <c r="AB172">
        <f>SUMIFS(StandardName[RankValueInTheRanking],StandardName[StandardizedName],Analiza_wRankingach[[#This Row],[Nazwa uczelni]],StandardName[Ranking],"=QS")</f>
        <v>100</v>
      </c>
      <c r="AC172">
        <f>SUMIFS(StandardName[RankValueInTheRanking],StandardName[StandardizedName],Analiza_wRankingach[[#This Row],[Nazwa uczelni]],StandardName[Ranking],"=Webometrics")</f>
        <v>0</v>
      </c>
      <c r="AD172">
        <f>SUMIFS(StandardName[IDinTheRanking],StandardName[StandardizedName],Analiza_wRankingach[[#This Row],[Nazwa uczelni]],StandardName[Ranking],"=THE")</f>
        <v>0</v>
      </c>
      <c r="AE172">
        <f>SUMIFS(StandardName[IDinTheRanking],StandardName[StandardizedName],Analiza_wRankingach[[#This Row],[Nazwa uczelni]],StandardName[Ranking],"=ARWU")</f>
        <v>0</v>
      </c>
      <c r="AF172">
        <f>SUMIFS(StandardName[IDinTheRanking],StandardName[StandardizedName],Analiza_wRankingach[[#This Row],[Nazwa uczelni]],StandardName[Ranking],"=QS")</f>
        <v>100</v>
      </c>
      <c r="AG172">
        <f>SUMIFS(StandardName[IDinTheRanking],StandardName[StandardizedName],Analiza_wRankingach[[#This Row],[Nazwa uczelni]],StandardName[Ranking],"=Webometrics")</f>
        <v>0</v>
      </c>
      <c r="AH172">
        <f>SUM(Analiza_wRankingach[[#This Row],[THE_ID]:[Webometrics_ID]])</f>
        <v>100</v>
      </c>
      <c r="AI172" t="str">
        <f>IF(Analiza_wRankingach[[#This Row],[LiczbaWystąpień]]&gt;=T173,"OK","UWAGA")</f>
        <v>OK</v>
      </c>
    </row>
    <row r="173" spans="1:35" x14ac:dyDescent="0.45">
      <c r="A173">
        <v>171</v>
      </c>
      <c r="B173" t="str">
        <f>Analiza_wRankingach[[#This Row],[Nazwa uczelni]]</f>
        <v>University of Massachusetts Amherst</v>
      </c>
      <c r="C173">
        <f>Analiza_wRankingach[[#This Row],[WartośćKontrolna]]</f>
        <v>850</v>
      </c>
      <c r="D173">
        <f>Analiza_wRankingach[[#This Row],[THE_RV]]</f>
        <v>0</v>
      </c>
      <c r="E173">
        <f>Analiza_wRankingach[[#This Row],[ARWU_RV]]</f>
        <v>0</v>
      </c>
      <c r="F173">
        <f>Analiza_wRankingach[[#This Row],[QS_RV]]</f>
        <v>0</v>
      </c>
      <c r="G173">
        <f>Analiza_wRankingach[[#This Row],[Webometrics_RV]]</f>
        <v>100</v>
      </c>
      <c r="I173" t="s">
        <v>728</v>
      </c>
      <c r="J173">
        <v>71</v>
      </c>
      <c r="K173" t="s">
        <v>728</v>
      </c>
      <c r="L173">
        <v>71</v>
      </c>
      <c r="M173" t="s">
        <v>849</v>
      </c>
      <c r="O173" t="s">
        <v>845</v>
      </c>
      <c r="P173">
        <f>IF(SUMIFS(StandardName[IDinTheRanking],StandardName[StandardizedName],Analiza_wRankingach[[#This Row],[Nazwa uczelni]],StandardName[Ranking],"=THE")&gt;0,1,0)</f>
        <v>0</v>
      </c>
      <c r="Q173">
        <f>IF(SUMIFS(StandardName[IDinTheRanking],StandardName[StandardizedName],Analiza_wRankingach[[#This Row],[Nazwa uczelni]],StandardName[Ranking],"=ARWU")&gt;0,1,0)</f>
        <v>0</v>
      </c>
      <c r="R173">
        <f>IF(SUMIFS(StandardName[IDinTheRanking],StandardName[StandardizedName],Analiza_wRankingach[[#This Row],[Nazwa uczelni]],StandardName[Ranking],"=QS")&gt;0,1,0)</f>
        <v>0</v>
      </c>
      <c r="S173">
        <f>IF(SUMIFS(StandardName[IDinTheRanking],StandardName[StandardizedName],Analiza_wRankingach[[#This Row],[Nazwa uczelni]],StandardName[Ranking],"=Webometrics")&gt;0,1,0)</f>
        <v>1</v>
      </c>
      <c r="T173">
        <f>SUM(Analiza_wRankingach[[#This Row],[THE]:[Webometrics]])</f>
        <v>1</v>
      </c>
      <c r="U173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250</v>
      </c>
      <c r="V173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250</v>
      </c>
      <c r="W173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250</v>
      </c>
      <c r="X173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100</v>
      </c>
      <c r="Y173">
        <f>SUM(Analiza_wRankingach[[#This Row],[THE_RV1000]:[Webometrics_RV1000]])</f>
        <v>850</v>
      </c>
      <c r="Z173">
        <f>SUMIFS(StandardName[RankValueInTheRanking],StandardName[StandardizedName],Analiza_wRankingach[[#This Row],[Nazwa uczelni]],StandardName[Ranking],"=THE")</f>
        <v>0</v>
      </c>
      <c r="AA173">
        <f>SUMIFS(StandardName[RankValueInTheRanking],StandardName[StandardizedName],Analiza_wRankingach[[#This Row],[Nazwa uczelni]],StandardName[Ranking],"=ARWU")</f>
        <v>0</v>
      </c>
      <c r="AB173">
        <f>SUMIFS(StandardName[RankValueInTheRanking],StandardName[StandardizedName],Analiza_wRankingach[[#This Row],[Nazwa uczelni]],StandardName[Ranking],"=QS")</f>
        <v>0</v>
      </c>
      <c r="AC173">
        <f>SUMIFS(StandardName[RankValueInTheRanking],StandardName[StandardizedName],Analiza_wRankingach[[#This Row],[Nazwa uczelni]],StandardName[Ranking],"=Webometrics")</f>
        <v>100</v>
      </c>
      <c r="AD173">
        <f>SUMIFS(StandardName[IDinTheRanking],StandardName[StandardizedName],Analiza_wRankingach[[#This Row],[Nazwa uczelni]],StandardName[Ranking],"=THE")</f>
        <v>0</v>
      </c>
      <c r="AE173">
        <f>SUMIFS(StandardName[IDinTheRanking],StandardName[StandardizedName],Analiza_wRankingach[[#This Row],[Nazwa uczelni]],StandardName[Ranking],"=ARWU")</f>
        <v>0</v>
      </c>
      <c r="AF173">
        <f>SUMIFS(StandardName[IDinTheRanking],StandardName[StandardizedName],Analiza_wRankingach[[#This Row],[Nazwa uczelni]],StandardName[Ranking],"=QS")</f>
        <v>0</v>
      </c>
      <c r="AG173">
        <f>SUMIFS(StandardName[IDinTheRanking],StandardName[StandardizedName],Analiza_wRankingach[[#This Row],[Nazwa uczelni]],StandardName[Ranking],"=Webometrics")</f>
        <v>100</v>
      </c>
      <c r="AH173">
        <f>SUM(Analiza_wRankingach[[#This Row],[THE_ID]:[Webometrics_ID]])</f>
        <v>100</v>
      </c>
      <c r="AI173" t="str">
        <f>IF(Analiza_wRankingach[[#This Row],[LiczbaWystąpień]]&gt;=T174,"OK","UWAGA")</f>
        <v>UWAGA</v>
      </c>
    </row>
    <row r="174" spans="1:35" x14ac:dyDescent="0.45">
      <c r="I174" t="s">
        <v>276</v>
      </c>
      <c r="J174">
        <v>72</v>
      </c>
      <c r="K174" t="s">
        <v>276</v>
      </c>
      <c r="L174">
        <v>72</v>
      </c>
      <c r="M174" t="s">
        <v>849</v>
      </c>
      <c r="P174">
        <f>SUBTOTAL(109,Analiza_wRankingach[THE])</f>
        <v>100</v>
      </c>
      <c r="Q174">
        <f>SUBTOTAL(109,Analiza_wRankingach[ARWU])</f>
        <v>100</v>
      </c>
      <c r="R174">
        <f>SUBTOTAL(109,Analiza_wRankingach[QS])</f>
        <v>100</v>
      </c>
      <c r="S174">
        <f>SUBTOTAL(109,Analiza_wRankingach[Webometrics])</f>
        <v>100</v>
      </c>
      <c r="T174">
        <f>SUBTOTAL(102,Analiza_wRankingach[LiczbaWystąpień])</f>
        <v>171</v>
      </c>
    </row>
    <row r="175" spans="1:35" x14ac:dyDescent="0.45">
      <c r="I175" t="s">
        <v>732</v>
      </c>
      <c r="J175">
        <v>73</v>
      </c>
      <c r="K175" t="s">
        <v>732</v>
      </c>
      <c r="L175">
        <v>73</v>
      </c>
      <c r="M175" t="s">
        <v>849</v>
      </c>
    </row>
    <row r="176" spans="1:35" x14ac:dyDescent="0.45">
      <c r="I176" t="s">
        <v>733</v>
      </c>
      <c r="J176">
        <v>74</v>
      </c>
      <c r="K176" t="s">
        <v>733</v>
      </c>
      <c r="L176">
        <v>74</v>
      </c>
      <c r="M176" t="s">
        <v>849</v>
      </c>
    </row>
    <row r="177" spans="9:22" x14ac:dyDescent="0.45">
      <c r="I177" t="s">
        <v>734</v>
      </c>
      <c r="J177">
        <v>75</v>
      </c>
      <c r="K177" t="s">
        <v>734</v>
      </c>
      <c r="L177">
        <v>75</v>
      </c>
      <c r="M177" t="s">
        <v>849</v>
      </c>
      <c r="P177">
        <v>1</v>
      </c>
      <c r="Q177">
        <v>68</v>
      </c>
      <c r="R177">
        <f>Q177*P177</f>
        <v>68</v>
      </c>
    </row>
    <row r="178" spans="9:22" x14ac:dyDescent="0.45">
      <c r="I178" t="s">
        <v>234</v>
      </c>
      <c r="J178">
        <v>76</v>
      </c>
      <c r="K178" t="s">
        <v>234</v>
      </c>
      <c r="L178">
        <v>76</v>
      </c>
      <c r="M178" t="s">
        <v>849</v>
      </c>
      <c r="P178">
        <v>2</v>
      </c>
      <c r="Q178">
        <v>28</v>
      </c>
      <c r="R178">
        <f>Q178*P178</f>
        <v>56</v>
      </c>
    </row>
    <row r="179" spans="9:22" x14ac:dyDescent="0.45">
      <c r="I179" t="s">
        <v>738</v>
      </c>
      <c r="J179">
        <v>77</v>
      </c>
      <c r="K179" t="s">
        <v>738</v>
      </c>
      <c r="L179">
        <v>77</v>
      </c>
      <c r="M179" t="s">
        <v>849</v>
      </c>
      <c r="P179">
        <v>3</v>
      </c>
      <c r="Q179">
        <v>24</v>
      </c>
      <c r="R179">
        <f>Q179*P179</f>
        <v>72</v>
      </c>
    </row>
    <row r="180" spans="9:22" x14ac:dyDescent="0.45">
      <c r="I180" t="s">
        <v>740</v>
      </c>
      <c r="J180">
        <v>78</v>
      </c>
      <c r="K180" t="s">
        <v>740</v>
      </c>
      <c r="L180">
        <v>78</v>
      </c>
      <c r="M180" t="s">
        <v>849</v>
      </c>
      <c r="P180">
        <v>4</v>
      </c>
      <c r="Q180">
        <v>51</v>
      </c>
      <c r="R180">
        <f>Q180*P180</f>
        <v>204</v>
      </c>
    </row>
    <row r="181" spans="9:22" x14ac:dyDescent="0.45">
      <c r="I181" t="s">
        <v>742</v>
      </c>
      <c r="J181">
        <v>79</v>
      </c>
      <c r="K181" t="s">
        <v>742</v>
      </c>
      <c r="L181">
        <v>79</v>
      </c>
      <c r="M181" t="s">
        <v>849</v>
      </c>
      <c r="R181">
        <f>SUM(R177:R180)</f>
        <v>400</v>
      </c>
    </row>
    <row r="182" spans="9:22" x14ac:dyDescent="0.45">
      <c r="I182" t="s">
        <v>157</v>
      </c>
      <c r="J182">
        <v>80</v>
      </c>
      <c r="K182" t="s">
        <v>157</v>
      </c>
      <c r="L182">
        <v>80</v>
      </c>
      <c r="M182" t="s">
        <v>849</v>
      </c>
    </row>
    <row r="183" spans="9:22" x14ac:dyDescent="0.45">
      <c r="I183" t="s">
        <v>420</v>
      </c>
      <c r="J183">
        <v>81</v>
      </c>
      <c r="K183" t="s">
        <v>420</v>
      </c>
      <c r="L183">
        <v>81</v>
      </c>
      <c r="M183" t="s">
        <v>849</v>
      </c>
    </row>
    <row r="184" spans="9:22" x14ac:dyDescent="0.45">
      <c r="I184" t="s">
        <v>545</v>
      </c>
      <c r="J184">
        <v>82</v>
      </c>
      <c r="K184" t="s">
        <v>545</v>
      </c>
      <c r="L184">
        <v>82</v>
      </c>
      <c r="M184" t="s">
        <v>849</v>
      </c>
      <c r="Q184" t="s">
        <v>864</v>
      </c>
      <c r="R184" t="s">
        <v>863</v>
      </c>
      <c r="S184" t="s">
        <v>865</v>
      </c>
      <c r="T184" t="s">
        <v>866</v>
      </c>
      <c r="U184" t="s">
        <v>867</v>
      </c>
      <c r="V184" t="s">
        <v>868</v>
      </c>
    </row>
    <row r="185" spans="9:22" x14ac:dyDescent="0.45">
      <c r="I185" t="s">
        <v>412</v>
      </c>
      <c r="J185">
        <v>83</v>
      </c>
      <c r="K185" t="s">
        <v>412</v>
      </c>
      <c r="L185">
        <v>83</v>
      </c>
      <c r="M185" t="s">
        <v>849</v>
      </c>
      <c r="Q185">
        <v>1</v>
      </c>
      <c r="R185">
        <v>68</v>
      </c>
      <c r="S185">
        <v>19</v>
      </c>
      <c r="T185">
        <v>21</v>
      </c>
      <c r="U185">
        <v>19</v>
      </c>
      <c r="V185">
        <v>9</v>
      </c>
    </row>
    <row r="186" spans="9:22" x14ac:dyDescent="0.45">
      <c r="I186" t="s">
        <v>425</v>
      </c>
      <c r="J186">
        <v>84</v>
      </c>
      <c r="K186" t="s">
        <v>425</v>
      </c>
      <c r="L186">
        <v>83</v>
      </c>
      <c r="M186" t="s">
        <v>849</v>
      </c>
      <c r="Q186">
        <v>2</v>
      </c>
      <c r="R186">
        <v>28</v>
      </c>
      <c r="S186">
        <v>14</v>
      </c>
      <c r="T186">
        <v>12</v>
      </c>
      <c r="U186">
        <v>13</v>
      </c>
      <c r="V186">
        <v>17</v>
      </c>
    </row>
    <row r="187" spans="9:22" x14ac:dyDescent="0.45">
      <c r="I187" t="s">
        <v>266</v>
      </c>
      <c r="J187">
        <v>85</v>
      </c>
      <c r="K187" t="s">
        <v>266</v>
      </c>
      <c r="L187">
        <v>85</v>
      </c>
      <c r="M187" t="s">
        <v>849</v>
      </c>
      <c r="Q187">
        <v>3</v>
      </c>
      <c r="R187">
        <v>24</v>
      </c>
      <c r="S187">
        <v>16</v>
      </c>
      <c r="T187">
        <v>16</v>
      </c>
      <c r="U187">
        <v>17</v>
      </c>
      <c r="V187">
        <v>23</v>
      </c>
    </row>
    <row r="188" spans="9:22" x14ac:dyDescent="0.45">
      <c r="I188" t="s">
        <v>749</v>
      </c>
      <c r="J188">
        <v>86</v>
      </c>
      <c r="K188" t="s">
        <v>749</v>
      </c>
      <c r="L188">
        <v>86</v>
      </c>
      <c r="M188" t="s">
        <v>849</v>
      </c>
      <c r="Q188">
        <v>4</v>
      </c>
      <c r="R188">
        <v>51</v>
      </c>
      <c r="S188">
        <v>51</v>
      </c>
      <c r="T188">
        <v>51</v>
      </c>
      <c r="U188">
        <v>51</v>
      </c>
      <c r="V188">
        <v>51</v>
      </c>
    </row>
    <row r="189" spans="9:22" x14ac:dyDescent="0.45">
      <c r="I189" t="s">
        <v>751</v>
      </c>
      <c r="J189">
        <v>87</v>
      </c>
      <c r="K189" t="s">
        <v>751</v>
      </c>
      <c r="L189">
        <v>87</v>
      </c>
      <c r="M189" t="s">
        <v>849</v>
      </c>
      <c r="Q189" t="s">
        <v>862</v>
      </c>
      <c r="R189">
        <v>171</v>
      </c>
      <c r="S189">
        <v>100</v>
      </c>
      <c r="T189">
        <v>100</v>
      </c>
      <c r="U189">
        <v>100</v>
      </c>
      <c r="V189">
        <v>100</v>
      </c>
    </row>
    <row r="190" spans="9:22" x14ac:dyDescent="0.45">
      <c r="I190" t="s">
        <v>216</v>
      </c>
      <c r="J190">
        <v>88</v>
      </c>
      <c r="K190" t="s">
        <v>216</v>
      </c>
      <c r="L190">
        <v>88</v>
      </c>
      <c r="M190" t="s">
        <v>849</v>
      </c>
    </row>
    <row r="191" spans="9:22" x14ac:dyDescent="0.45">
      <c r="I191" t="s">
        <v>756</v>
      </c>
      <c r="J191">
        <v>89</v>
      </c>
      <c r="K191" t="s">
        <v>756</v>
      </c>
      <c r="L191">
        <v>89</v>
      </c>
      <c r="M191" t="s">
        <v>849</v>
      </c>
      <c r="Q191" t="s">
        <v>864</v>
      </c>
      <c r="R191" t="s">
        <v>863</v>
      </c>
      <c r="S191" t="s">
        <v>865</v>
      </c>
      <c r="T191" t="s">
        <v>866</v>
      </c>
      <c r="U191" t="s">
        <v>867</v>
      </c>
      <c r="V191" t="s">
        <v>868</v>
      </c>
    </row>
    <row r="192" spans="9:22" x14ac:dyDescent="0.45">
      <c r="I192" t="s">
        <v>622</v>
      </c>
      <c r="J192">
        <v>90</v>
      </c>
      <c r="K192" t="s">
        <v>622</v>
      </c>
      <c r="L192">
        <v>90</v>
      </c>
      <c r="M192" t="s">
        <v>849</v>
      </c>
      <c r="Q192">
        <v>1</v>
      </c>
      <c r="R192">
        <v>68</v>
      </c>
      <c r="S192">
        <f>($Q185-1)*S185</f>
        <v>0</v>
      </c>
      <c r="T192">
        <f t="shared" ref="T192:V192" si="0">($Q185-1)*T185</f>
        <v>0</v>
      </c>
      <c r="U192">
        <f t="shared" si="0"/>
        <v>0</v>
      </c>
      <c r="V192">
        <f t="shared" si="0"/>
        <v>0</v>
      </c>
    </row>
    <row r="193" spans="9:39" x14ac:dyDescent="0.45">
      <c r="I193" t="s">
        <v>761</v>
      </c>
      <c r="J193">
        <v>91</v>
      </c>
      <c r="K193" t="s">
        <v>761</v>
      </c>
      <c r="L193">
        <v>91</v>
      </c>
      <c r="M193" t="s">
        <v>849</v>
      </c>
      <c r="Q193">
        <v>2</v>
      </c>
      <c r="R193">
        <v>28</v>
      </c>
      <c r="S193">
        <f t="shared" ref="S193:V193" si="1">($Q186-1)*S186</f>
        <v>14</v>
      </c>
      <c r="T193">
        <f t="shared" si="1"/>
        <v>12</v>
      </c>
      <c r="U193">
        <f t="shared" si="1"/>
        <v>13</v>
      </c>
      <c r="V193">
        <f t="shared" si="1"/>
        <v>17</v>
      </c>
    </row>
    <row r="194" spans="9:39" x14ac:dyDescent="0.45">
      <c r="I194" t="s">
        <v>763</v>
      </c>
      <c r="J194">
        <v>92</v>
      </c>
      <c r="K194" t="s">
        <v>763</v>
      </c>
      <c r="L194">
        <v>92</v>
      </c>
      <c r="M194" t="s">
        <v>849</v>
      </c>
      <c r="Q194">
        <v>3</v>
      </c>
      <c r="R194">
        <v>24</v>
      </c>
      <c r="S194">
        <f t="shared" ref="S194:V194" si="2">($Q187-1)*S187</f>
        <v>32</v>
      </c>
      <c r="T194">
        <f t="shared" si="2"/>
        <v>32</v>
      </c>
      <c r="U194">
        <f t="shared" si="2"/>
        <v>34</v>
      </c>
      <c r="V194">
        <f t="shared" si="2"/>
        <v>46</v>
      </c>
    </row>
    <row r="195" spans="9:39" x14ac:dyDescent="0.45">
      <c r="I195" t="s">
        <v>765</v>
      </c>
      <c r="J195">
        <v>93</v>
      </c>
      <c r="K195" t="s">
        <v>765</v>
      </c>
      <c r="L195">
        <v>93</v>
      </c>
      <c r="M195" t="s">
        <v>849</v>
      </c>
      <c r="Q195">
        <v>4</v>
      </c>
      <c r="R195">
        <v>51</v>
      </c>
      <c r="S195">
        <f t="shared" ref="S195:V195" si="3">($Q188-1)*S188</f>
        <v>153</v>
      </c>
      <c r="T195">
        <f t="shared" si="3"/>
        <v>153</v>
      </c>
      <c r="U195">
        <f t="shared" si="3"/>
        <v>153</v>
      </c>
      <c r="V195">
        <f t="shared" si="3"/>
        <v>153</v>
      </c>
    </row>
    <row r="196" spans="9:39" x14ac:dyDescent="0.45">
      <c r="I196" t="s">
        <v>385</v>
      </c>
      <c r="J196">
        <v>94</v>
      </c>
      <c r="K196" t="s">
        <v>385</v>
      </c>
      <c r="L196">
        <v>94</v>
      </c>
      <c r="M196" t="s">
        <v>849</v>
      </c>
      <c r="Q196" t="s">
        <v>862</v>
      </c>
      <c r="R196">
        <v>171</v>
      </c>
      <c r="S196">
        <f>SUM(S192:S195)</f>
        <v>199</v>
      </c>
      <c r="T196">
        <f t="shared" ref="T196:V196" si="4">SUM(T192:T195)</f>
        <v>197</v>
      </c>
      <c r="U196">
        <f t="shared" si="4"/>
        <v>200</v>
      </c>
      <c r="V196">
        <f t="shared" si="4"/>
        <v>216</v>
      </c>
    </row>
    <row r="197" spans="9:39" x14ac:dyDescent="0.45">
      <c r="I197" t="s">
        <v>770</v>
      </c>
      <c r="J197">
        <v>95</v>
      </c>
      <c r="K197" t="s">
        <v>770</v>
      </c>
      <c r="L197">
        <v>95</v>
      </c>
      <c r="M197" t="s">
        <v>849</v>
      </c>
      <c r="S197" s="25">
        <f>S196/300</f>
        <v>0.66333333333333333</v>
      </c>
      <c r="T197" s="25">
        <f t="shared" ref="T197:V197" si="5">T196/300</f>
        <v>0.65666666666666662</v>
      </c>
      <c r="U197" s="25">
        <f t="shared" si="5"/>
        <v>0.66666666666666663</v>
      </c>
      <c r="V197" s="25">
        <f t="shared" si="5"/>
        <v>0.72</v>
      </c>
    </row>
    <row r="198" spans="9:39" x14ac:dyDescent="0.45">
      <c r="I198" t="s">
        <v>773</v>
      </c>
      <c r="J198">
        <v>96</v>
      </c>
      <c r="K198" t="s">
        <v>773</v>
      </c>
      <c r="L198">
        <v>96</v>
      </c>
      <c r="M198" t="s">
        <v>849</v>
      </c>
      <c r="S198" t="s">
        <v>879</v>
      </c>
      <c r="Y198" t="s">
        <v>887</v>
      </c>
    </row>
    <row r="199" spans="9:39" ht="71.25" x14ac:dyDescent="0.45">
      <c r="I199" t="s">
        <v>776</v>
      </c>
      <c r="J199">
        <v>97</v>
      </c>
      <c r="K199" t="s">
        <v>776</v>
      </c>
      <c r="L199">
        <v>96</v>
      </c>
      <c r="M199" t="s">
        <v>849</v>
      </c>
      <c r="S199" t="s">
        <v>846</v>
      </c>
      <c r="T199" t="s">
        <v>848</v>
      </c>
      <c r="U199" t="s">
        <v>849</v>
      </c>
      <c r="V199" t="s">
        <v>850</v>
      </c>
      <c r="Y199" t="s">
        <v>846</v>
      </c>
      <c r="Z199" t="s">
        <v>848</v>
      </c>
      <c r="AA199" t="s">
        <v>849</v>
      </c>
      <c r="AB199" t="s">
        <v>850</v>
      </c>
      <c r="AC199" t="s">
        <v>913</v>
      </c>
      <c r="AD199" s="16" t="s">
        <v>888</v>
      </c>
      <c r="AF199" s="12" t="s">
        <v>895</v>
      </c>
      <c r="AG199" s="12" t="s">
        <v>898</v>
      </c>
      <c r="AH199" s="12" t="s">
        <v>901</v>
      </c>
      <c r="AI199" s="18" t="s">
        <v>904</v>
      </c>
      <c r="AJ199" s="12" t="s">
        <v>897</v>
      </c>
      <c r="AK199" s="12" t="s">
        <v>899</v>
      </c>
      <c r="AL199" s="12" t="s">
        <v>900</v>
      </c>
      <c r="AM199" s="12" t="s">
        <v>896</v>
      </c>
    </row>
    <row r="200" spans="9:39" x14ac:dyDescent="0.45">
      <c r="I200" t="s">
        <v>778</v>
      </c>
      <c r="J200">
        <v>98</v>
      </c>
      <c r="K200" t="s">
        <v>778</v>
      </c>
      <c r="L200">
        <v>98</v>
      </c>
      <c r="M200" t="s">
        <v>849</v>
      </c>
      <c r="R200" t="s">
        <v>846</v>
      </c>
      <c r="S200">
        <f>PEARSON(Analiza_wRankingach[THE_RV],Analiza_wRankingach[THE_RV])</f>
        <v>1</v>
      </c>
      <c r="T200" s="6">
        <f>PEARSON(Analiza_wRankingach[THE_RV],Analiza_wRankingach[ARWU_RV])</f>
        <v>5.4544460758331949E-2</v>
      </c>
      <c r="U200">
        <f>PEARSON(Analiza_wRankingach[THE_RV],Analiza_wRankingach[QS_RV])</f>
        <v>3.3043277923059056E-2</v>
      </c>
      <c r="V200">
        <f>PEARSON(Analiza_wRankingach[THE_RV],Analiza_wRankingach[Webometrics_RV])</f>
        <v>7.989682028188963E-2</v>
      </c>
      <c r="X200" t="s">
        <v>846</v>
      </c>
      <c r="Z200" s="26">
        <f>PEARSON(THE_ARWU[THE_RV],THE_ARWU[ARWU_RV])</f>
        <v>0.6312204928984575</v>
      </c>
      <c r="AA200" s="26">
        <f>PEARSON(THE_QS[THE_RV],THE_QS[QS_RV])</f>
        <v>0.68131284236473932</v>
      </c>
      <c r="AB200" s="26">
        <f>PEARSON(THE_Webometrics[THE_RV],THE_Webometrics[Webometrics_RV])</f>
        <v>0.6643611737736328</v>
      </c>
      <c r="AC200">
        <f>PEARSON(THE_RV1000[THE_RV1000],THE_RV1000[WartośćKontrolna])</f>
        <v>0.80618413766627317</v>
      </c>
      <c r="AD200" s="26">
        <f>AVERAGE(Y200:AB200)</f>
        <v>0.65896483634560987</v>
      </c>
      <c r="AE200">
        <f>AVERAGE(Y200:AC200)</f>
        <v>0.6957696616757757</v>
      </c>
      <c r="AF200" s="12">
        <v>0.67028502597509432</v>
      </c>
      <c r="AG200" s="17">
        <v>0.68409376595343396</v>
      </c>
      <c r="AH200" s="12">
        <v>0.69086452017416111</v>
      </c>
      <c r="AI200" s="18">
        <f>AVERAGE(AC200:AG200)</f>
        <v>0.70305948552323738</v>
      </c>
      <c r="AJ200" s="12">
        <v>0.70223932119763965</v>
      </c>
      <c r="AK200" s="12">
        <v>0.7106424444358147</v>
      </c>
      <c r="AL200" s="12">
        <v>0.7192939729698915</v>
      </c>
      <c r="AM200" s="12">
        <v>0.71942373872539378</v>
      </c>
    </row>
    <row r="201" spans="9:39" x14ac:dyDescent="0.45">
      <c r="I201" t="s">
        <v>780</v>
      </c>
      <c r="J201">
        <v>99</v>
      </c>
      <c r="K201" t="s">
        <v>780</v>
      </c>
      <c r="L201">
        <v>99</v>
      </c>
      <c r="M201" t="s">
        <v>849</v>
      </c>
      <c r="R201" t="s">
        <v>848</v>
      </c>
      <c r="S201">
        <f>PEARSON(Analiza_wRankingach[ARWU_RV],Analiza_wRankingach[THE_RV])</f>
        <v>5.4544460758331949E-2</v>
      </c>
      <c r="T201">
        <f>PEARSON(Analiza_wRankingach[ARWU_RV],Analiza_wRankingach[ARWU_RV])</f>
        <v>1</v>
      </c>
      <c r="U201">
        <f>PEARSON(Analiza_wRankingach[ARWU_RV],Analiza_wRankingach[QS_RV])</f>
        <v>-0.2152531359125055</v>
      </c>
      <c r="V201">
        <f>PEARSON(Analiza_wRankingach[ARWU_RV],Analiza_wRankingach[Webometrics_RV])</f>
        <v>5.1301871513709782E-2</v>
      </c>
      <c r="X201" t="s">
        <v>848</v>
      </c>
      <c r="Y201" s="26">
        <f>PEARSON(THE_ARWU[THE_RV],THE_ARWU[ARWU_RV])</f>
        <v>0.6312204928984575</v>
      </c>
      <c r="AA201" s="26">
        <f>PEARSON(ARWU_QS[ARWU_RV],ARWU_QS[QS_RV])</f>
        <v>0.4517034235468339</v>
      </c>
      <c r="AB201" s="26">
        <f>PEARSON(ARWU_Webometrics[ARWU_RV],ARWU_Webometrics[Webometrics_RV])</f>
        <v>0.75515803331006004</v>
      </c>
      <c r="AC201">
        <f>PEARSON(ARWU_RV1000[ARWU_RV1000],ARWU_RV1000[WartośćKontrolna])</f>
        <v>0.69717740709915144</v>
      </c>
      <c r="AD201" s="26">
        <f>AVERAGE(Y201:AB201)</f>
        <v>0.61269398325178381</v>
      </c>
      <c r="AE201">
        <f t="shared" ref="AE201:AE204" si="6">AVERAGE(Y201:AC201)</f>
        <v>0.63381483921362569</v>
      </c>
      <c r="AF201" s="12">
        <v>0.60662893810435337</v>
      </c>
      <c r="AG201" s="12">
        <v>0.62074631512389811</v>
      </c>
      <c r="AH201" s="12">
        <v>0.62816463553511204</v>
      </c>
      <c r="AI201" s="18">
        <f t="shared" ref="AI201:AI204" si="7">AVERAGE(AC201:AG201)</f>
        <v>0.63421229655856259</v>
      </c>
      <c r="AJ201" s="12">
        <v>0.6417347169830554</v>
      </c>
      <c r="AK201" s="12">
        <v>0.6532248572297894</v>
      </c>
      <c r="AL201" s="12">
        <v>0.66874011819394719</v>
      </c>
      <c r="AM201" s="12">
        <v>0.66907420811906948</v>
      </c>
    </row>
    <row r="202" spans="9:39" x14ac:dyDescent="0.45">
      <c r="I202" t="s">
        <v>782</v>
      </c>
      <c r="J202">
        <v>100</v>
      </c>
      <c r="K202" t="s">
        <v>782</v>
      </c>
      <c r="L202">
        <v>100</v>
      </c>
      <c r="M202" t="s">
        <v>849</v>
      </c>
      <c r="R202" t="s">
        <v>849</v>
      </c>
      <c r="S202">
        <f>PEARSON(Analiza_wRankingach[QS_RV],Analiza_wRankingach[THE_RV])</f>
        <v>3.3043277923059056E-2</v>
      </c>
      <c r="T202">
        <f>PEARSON(Analiza_wRankingach[QS_RV],Analiza_wRankingach[ARWU_RV])</f>
        <v>-0.2152531359125055</v>
      </c>
      <c r="U202">
        <f>PEARSON(Analiza_wRankingach[QS_RV],Analiza_wRankingach[QS_RV])</f>
        <v>1</v>
      </c>
      <c r="V202">
        <f>PEARSON(Analiza_wRankingach[QS_RV],Analiza_wRankingach[Webometrics_RV])</f>
        <v>-0.17933310067917888</v>
      </c>
      <c r="X202" t="s">
        <v>849</v>
      </c>
      <c r="Y202" s="26">
        <f>PEARSON(THE_QS[THE_RV],THE_QS[QS_RV])</f>
        <v>0.68131284236473932</v>
      </c>
      <c r="Z202" s="26">
        <f>PEARSON(ARWU_QS[ARWU_RV],ARWU_QS[QS_RV])</f>
        <v>0.4517034235468339</v>
      </c>
      <c r="AB202" s="26">
        <f>PEARSON(QS_Webometrics[QS_RV],QS_Webometrics[Webometrics_RV])</f>
        <v>0.35782005396881927</v>
      </c>
      <c r="AC202">
        <f>PEARSON(QS_RV1000[QS_RV1000],QS_RV1000[WartośćKontrolna])</f>
        <v>0.78399388575045414</v>
      </c>
      <c r="AD202" s="26">
        <f>AVERAGE(Y202:AB202)</f>
        <v>0.4969454399601308</v>
      </c>
      <c r="AE202">
        <f t="shared" si="6"/>
        <v>0.56870755140771168</v>
      </c>
      <c r="AF202" s="12">
        <v>0.55250455643133323</v>
      </c>
      <c r="AG202" s="12">
        <v>0.561246416860263</v>
      </c>
      <c r="AH202" s="12">
        <v>0.56556737733655105</v>
      </c>
      <c r="AI202" s="18">
        <f t="shared" si="7"/>
        <v>0.59267957008197858</v>
      </c>
      <c r="AJ202" s="12">
        <v>0.57284502805644322</v>
      </c>
      <c r="AK202" s="12">
        <v>0.57810922066019599</v>
      </c>
      <c r="AL202" s="12">
        <v>0.58245403804542395</v>
      </c>
      <c r="AM202" s="12">
        <v>0.5824729484144282</v>
      </c>
    </row>
    <row r="203" spans="9:39" x14ac:dyDescent="0.45">
      <c r="I203" t="s">
        <v>0</v>
      </c>
      <c r="J203">
        <v>1</v>
      </c>
      <c r="K203" t="s">
        <v>0</v>
      </c>
      <c r="L203">
        <v>1</v>
      </c>
      <c r="M203" t="s">
        <v>846</v>
      </c>
      <c r="R203" t="s">
        <v>850</v>
      </c>
      <c r="S203">
        <f>PEARSON(Analiza_wRankingach[Webometrics_RV],Analiza_wRankingach[THE_RV])</f>
        <v>7.989682028188963E-2</v>
      </c>
      <c r="T203">
        <f>PEARSON(Analiza_wRankingach[Webometrics_RV],Analiza_wRankingach[ARWU_RV])</f>
        <v>5.1301871513709782E-2</v>
      </c>
      <c r="U203">
        <f>PEARSON(Analiza_wRankingach[Webometrics_RV],Analiza_wRankingach[QS_RV])</f>
        <v>-0.17933310067917888</v>
      </c>
      <c r="V203">
        <f>PEARSON(Analiza_wRankingach[Webometrics_RV],Analiza_wRankingach[Webometrics_RV])</f>
        <v>1</v>
      </c>
      <c r="X203" t="s">
        <v>850</v>
      </c>
      <c r="Y203" s="26">
        <f>PEARSON(THE_Webometrics[THE_RV],THE_Webometrics[Webometrics_RV])</f>
        <v>0.6643611737736328</v>
      </c>
      <c r="Z203" s="26">
        <f>PEARSON(ARWU_Webometrics[ARWU_RV],ARWU_Webometrics[Webometrics_RV])</f>
        <v>0.75515803331006004</v>
      </c>
      <c r="AA203" s="26">
        <f>PEARSON(QS_Webometrics[QS_RV],QS_Webometrics[Webometrics_RV])</f>
        <v>0.35782005396881927</v>
      </c>
      <c r="AC203">
        <f>PEARSON(Webometrics_RV1000[Webometrics_RV1000],Webometrics_RV1000[WartośćKontrolna])</f>
        <v>0.60320569053420869</v>
      </c>
      <c r="AD203" s="26">
        <f>AVERAGE(Y203:AB203)</f>
        <v>0.59244642035083739</v>
      </c>
      <c r="AE203">
        <f t="shared" si="6"/>
        <v>0.59513623789668024</v>
      </c>
      <c r="AF203" s="12">
        <v>0.56511419412374853</v>
      </c>
      <c r="AG203" s="12">
        <v>0.5805145220707506</v>
      </c>
      <c r="AH203" s="12">
        <v>0.58876474530028466</v>
      </c>
      <c r="AI203" s="18">
        <f t="shared" si="7"/>
        <v>0.58728341299524511</v>
      </c>
      <c r="AJ203" s="12">
        <v>0.60421999788980685</v>
      </c>
      <c r="AK203" s="12">
        <v>0.61782018834750108</v>
      </c>
      <c r="AL203" s="12">
        <v>0.6376989665849041</v>
      </c>
      <c r="AM203" s="12">
        <v>0.63816654475981327</v>
      </c>
    </row>
    <row r="204" spans="9:39" x14ac:dyDescent="0.45">
      <c r="I204" t="s">
        <v>8</v>
      </c>
      <c r="J204">
        <v>2</v>
      </c>
      <c r="K204" t="s">
        <v>8</v>
      </c>
      <c r="L204">
        <v>2</v>
      </c>
      <c r="M204" t="s">
        <v>846</v>
      </c>
      <c r="X204" t="s">
        <v>913</v>
      </c>
      <c r="Y204" s="26">
        <f>PEARSON(THE_RV1000[THE_RV1000],THE_RV1000[WartośćKontrolna])</f>
        <v>0.80618413766627317</v>
      </c>
      <c r="Z204" s="26">
        <f>PEARSON(ARWU_RV1000[ARWU_RV1000],ARWU_RV1000[WartośćKontrolna])</f>
        <v>0.69717740709915144</v>
      </c>
      <c r="AA204" s="26">
        <f>PEARSON(QS_RV1000[QS_RV1000],QS_RV1000[WartośćKontrolna])</f>
        <v>0.78399388575045414</v>
      </c>
      <c r="AB204" s="26">
        <f>PEARSON(Webometrics_RV1000[Webometrics_RV1000],Webometrics_RV1000[WartośćKontrolna])</f>
        <v>0.60320569053420869</v>
      </c>
      <c r="AD204" s="27">
        <f>AVERAGE(Y204:AB204)</f>
        <v>0.72264028026252181</v>
      </c>
      <c r="AE204">
        <f t="shared" si="6"/>
        <v>0.72264028026252181</v>
      </c>
      <c r="AF204" s="12">
        <v>0.62374470470325794</v>
      </c>
      <c r="AG204" s="12">
        <v>0.67581301007707417</v>
      </c>
      <c r="AH204" s="12">
        <v>0.70257326841483747</v>
      </c>
      <c r="AI204" s="18">
        <f t="shared" si="7"/>
        <v>0.68620956882634387</v>
      </c>
      <c r="AJ204" s="12">
        <v>0.75025105419567373</v>
      </c>
      <c r="AK204" s="12">
        <v>0.78900870074202978</v>
      </c>
      <c r="AL204" s="12">
        <v>0.83739908586289535</v>
      </c>
      <c r="AM204" s="12">
        <v>0.83834943008743323</v>
      </c>
    </row>
    <row r="205" spans="9:39" x14ac:dyDescent="0.45">
      <c r="I205" t="s">
        <v>15</v>
      </c>
      <c r="J205">
        <v>3</v>
      </c>
      <c r="K205" t="s">
        <v>15</v>
      </c>
      <c r="L205">
        <v>3</v>
      </c>
      <c r="M205" t="s">
        <v>846</v>
      </c>
      <c r="S205" t="s">
        <v>880</v>
      </c>
      <c r="AD205" s="14">
        <f>AVERAGE(AD200:AD204)</f>
        <v>0.61673819203417668</v>
      </c>
      <c r="AE205" s="14">
        <f>AVERAGE(AE200:AE204)</f>
        <v>0.64321371409126304</v>
      </c>
      <c r="AF205" s="13">
        <v>0.60365548386755752</v>
      </c>
      <c r="AG205" s="13">
        <v>0.62448280601708395</v>
      </c>
      <c r="AH205" s="13">
        <v>0.63518690935218924</v>
      </c>
      <c r="AI205" s="19">
        <f>AVERAGE(AI200:AI204)</f>
        <v>0.64068886679707349</v>
      </c>
      <c r="AJ205" s="13">
        <v>0.65425802366452379</v>
      </c>
      <c r="AK205" s="13">
        <v>0.66976108228306619</v>
      </c>
      <c r="AL205" s="13">
        <v>0.68911723633141242</v>
      </c>
      <c r="AM205" s="13">
        <v>0.68949737402122757</v>
      </c>
    </row>
    <row r="206" spans="9:39" x14ac:dyDescent="0.45">
      <c r="I206" t="s">
        <v>21</v>
      </c>
      <c r="J206">
        <v>4</v>
      </c>
      <c r="K206" t="s">
        <v>21</v>
      </c>
      <c r="L206">
        <v>3</v>
      </c>
      <c r="M206" t="s">
        <v>846</v>
      </c>
      <c r="S206" t="s">
        <v>846</v>
      </c>
      <c r="T206" t="s">
        <v>848</v>
      </c>
      <c r="U206" t="s">
        <v>849</v>
      </c>
      <c r="V206" t="s">
        <v>850</v>
      </c>
      <c r="W206" t="s">
        <v>890</v>
      </c>
      <c r="Y206" s="12" t="s">
        <v>896</v>
      </c>
      <c r="Z206" s="12" t="s">
        <v>900</v>
      </c>
      <c r="AA206" s="12" t="s">
        <v>899</v>
      </c>
      <c r="AB206" s="12" t="s">
        <v>897</v>
      </c>
      <c r="AC206" s="18" t="s">
        <v>904</v>
      </c>
      <c r="AD206" s="12" t="s">
        <v>901</v>
      </c>
      <c r="AE206" s="12" t="s">
        <v>898</v>
      </c>
      <c r="AF206" s="12" t="s">
        <v>895</v>
      </c>
    </row>
    <row r="207" spans="9:39" x14ac:dyDescent="0.45">
      <c r="I207" t="s">
        <v>27</v>
      </c>
      <c r="J207">
        <v>5</v>
      </c>
      <c r="K207" t="s">
        <v>27</v>
      </c>
      <c r="L207">
        <v>5</v>
      </c>
      <c r="M207" t="s">
        <v>846</v>
      </c>
      <c r="R207" t="s">
        <v>846</v>
      </c>
      <c r="T207" s="6">
        <f>PEARSON(Analiza_wRankingach[THE_RV1000],Analiza_wRankingach[ARWU_RV1000])</f>
        <v>0.44620465624148509</v>
      </c>
      <c r="U207">
        <f>PEARSON(Analiza_wRankingach[THE_RV1000],Analiza_wRankingach[QS_RV1000])</f>
        <v>0.57540429481450672</v>
      </c>
      <c r="V207">
        <f>PEARSON(Analiza_wRankingach[THE_RV1000],Analiza_wRankingach[Webometrics_RV1000])</f>
        <v>0.4102023168763978</v>
      </c>
      <c r="W207">
        <f>AVERAGE(S207:V207)</f>
        <v>0.47727042264412983</v>
      </c>
      <c r="Y207" s="12">
        <v>0.73022921410413399</v>
      </c>
      <c r="Z207" s="12">
        <v>0.72797368211660907</v>
      </c>
      <c r="AA207" s="12">
        <v>0.60394733975415704</v>
      </c>
      <c r="AB207" s="12">
        <f>AVERAGE(W207:Y207)</f>
        <v>0.60374981837413189</v>
      </c>
      <c r="AC207" s="18">
        <v>0.47727042264412983</v>
      </c>
      <c r="AD207" s="12">
        <v>0.44784409056578989</v>
      </c>
      <c r="AE207" s="12">
        <v>0.41326466822441638</v>
      </c>
      <c r="AF207" s="12">
        <v>0.3577783880856174</v>
      </c>
      <c r="AG207" s="6"/>
    </row>
    <row r="208" spans="9:39" x14ac:dyDescent="0.45">
      <c r="I208" t="s">
        <v>31</v>
      </c>
      <c r="J208">
        <v>6</v>
      </c>
      <c r="K208" t="s">
        <v>31</v>
      </c>
      <c r="L208">
        <v>6</v>
      </c>
      <c r="M208" t="s">
        <v>846</v>
      </c>
      <c r="R208" t="s">
        <v>848</v>
      </c>
      <c r="S208">
        <f>PEARSON(Analiza_wRankingach[ARWU_RV1000],Analiza_wRankingach[THE_RV1000])</f>
        <v>0.44620465624148509</v>
      </c>
      <c r="U208">
        <f>PEARSON(Analiza_wRankingach[ARWU_RV1000],Analiza_wRankingach[QS_RV1000])</f>
        <v>0.24728953051540792</v>
      </c>
      <c r="V208">
        <f>PEARSON(Analiza_wRankingach[ARWU_RV1000],Analiza_wRankingach[Webometrics_RV1000])</f>
        <v>0.38136335135200777</v>
      </c>
      <c r="W208">
        <f t="shared" ref="W208:W211" si="8">AVERAGE(S208:V208)</f>
        <v>0.35828584603630026</v>
      </c>
      <c r="Y208" s="12">
        <v>0.65970899965460317</v>
      </c>
      <c r="Z208" s="12">
        <v>0.65637847023740603</v>
      </c>
      <c r="AA208" s="12">
        <v>0.50099013103797996</v>
      </c>
      <c r="AB208" s="12">
        <f>AVERAGE(W208:Y208)</f>
        <v>0.50899742284545169</v>
      </c>
      <c r="AC208" s="18">
        <v>0.35828584603630026</v>
      </c>
      <c r="AD208" s="12">
        <v>0.32627230410485858</v>
      </c>
      <c r="AE208" s="12">
        <v>0.28912010164326007</v>
      </c>
      <c r="AF208" s="12">
        <v>0.23053484955310155</v>
      </c>
    </row>
    <row r="209" spans="9:32" x14ac:dyDescent="0.45">
      <c r="I209" t="s">
        <v>36</v>
      </c>
      <c r="J209">
        <v>7</v>
      </c>
      <c r="K209" t="s">
        <v>36</v>
      </c>
      <c r="L209">
        <v>7</v>
      </c>
      <c r="M209" t="s">
        <v>846</v>
      </c>
      <c r="R209" t="s">
        <v>849</v>
      </c>
      <c r="S209">
        <f>PEARSON(Analiza_wRankingach[QS_RV1000],Analiza_wRankingach[THE_RV1000])</f>
        <v>0.57540429481450672</v>
      </c>
      <c r="T209">
        <f>PEARSON(Analiza_wRankingach[QS_RV1000],Analiza_wRankingach[ARWU_RV1000])</f>
        <v>0.24728953051540792</v>
      </c>
      <c r="V209">
        <f>PEARSON(Analiza_wRankingach[QS_RV1000],Analiza_wRankingach[Webometrics_RV1000])</f>
        <v>0.21618432965424034</v>
      </c>
      <c r="W209">
        <f t="shared" si="8"/>
        <v>0.3462927183280517</v>
      </c>
      <c r="Y209" s="12">
        <v>0.64358769678424066</v>
      </c>
      <c r="Z209" s="12">
        <v>0.64077518861725824</v>
      </c>
      <c r="AA209" s="12">
        <v>0.49309606218573782</v>
      </c>
      <c r="AB209" s="12">
        <f>AVERAGE(W209:Y209)</f>
        <v>0.49494020755614621</v>
      </c>
      <c r="AC209" s="18">
        <v>0.3462927183280517</v>
      </c>
      <c r="AD209" s="12">
        <v>0.31248377221819235</v>
      </c>
      <c r="AE209" s="12">
        <v>0.27287723161725053</v>
      </c>
      <c r="AF209" s="12">
        <v>0.20959870113362622</v>
      </c>
    </row>
    <row r="210" spans="9:32" x14ac:dyDescent="0.45">
      <c r="I210" t="s">
        <v>43</v>
      </c>
      <c r="J210">
        <v>8</v>
      </c>
      <c r="K210" t="s">
        <v>792</v>
      </c>
      <c r="L210">
        <v>8</v>
      </c>
      <c r="M210" t="s">
        <v>846</v>
      </c>
      <c r="R210" t="s">
        <v>850</v>
      </c>
      <c r="S210">
        <f>PEARSON(Analiza_wRankingach[Webometrics_RV1000],Analiza_wRankingach[THE_RV1000])</f>
        <v>0.4102023168763978</v>
      </c>
      <c r="T210">
        <f>PEARSON(Analiza_wRankingach[Webometrics_RV1000],Analiza_wRankingach[ARWU_RV1000])</f>
        <v>0.38136335135200777</v>
      </c>
      <c r="U210">
        <f>PEARSON(Analiza_wRankingach[Webometrics_RV1000],Analiza_wRankingach[QS_RV1000])</f>
        <v>0.21618432965424034</v>
      </c>
      <c r="W210">
        <f t="shared" si="8"/>
        <v>0.33591666596088193</v>
      </c>
      <c r="Y210" s="12">
        <v>0.614439503573188</v>
      </c>
      <c r="Z210" s="12">
        <v>0.6113013938025289</v>
      </c>
      <c r="AA210" s="12">
        <v>0.46697363437632816</v>
      </c>
      <c r="AB210" s="12">
        <f>AVERAGE(W210:Y210)</f>
        <v>0.47517808476703494</v>
      </c>
      <c r="AC210" s="18">
        <v>0.33591666596088193</v>
      </c>
      <c r="AD210" s="12">
        <v>0.30664924310901459</v>
      </c>
      <c r="AE210" s="12">
        <v>0.27274526681646738</v>
      </c>
      <c r="AF210" s="12">
        <v>0.21942431199937398</v>
      </c>
    </row>
    <row r="211" spans="9:32" x14ac:dyDescent="0.45">
      <c r="I211" t="s">
        <v>48</v>
      </c>
      <c r="J211">
        <v>9</v>
      </c>
      <c r="K211" t="s">
        <v>48</v>
      </c>
      <c r="L211">
        <v>9</v>
      </c>
      <c r="M211" t="s">
        <v>846</v>
      </c>
      <c r="R211" t="s">
        <v>889</v>
      </c>
      <c r="S211">
        <f>PEARSON(Analiza_wRankingach[THE_RV1000],Analiza_wRankingach[WartośćKontrolna])</f>
        <v>0.83151849977883086</v>
      </c>
      <c r="T211">
        <f>PEARSON(Analiza_wRankingach[ARWU_RV1000],Analiza_wRankingach[WartośćKontrolna])</f>
        <v>0.70951360359046711</v>
      </c>
      <c r="U211">
        <f>PEARSON(Analiza_wRankingach[QS_RV1000],Analiza_wRankingach[WartośćKontrolna])</f>
        <v>0.69715920398028064</v>
      </c>
      <c r="V211">
        <f>PEARSON(Analiza_wRankingach[Webometrics_RV1000],Analiza_wRankingach[WartośćKontrolna])</f>
        <v>0.68641067933472877</v>
      </c>
      <c r="W211">
        <f t="shared" si="8"/>
        <v>0.7311504966710769</v>
      </c>
      <c r="Y211" s="12">
        <v>0.8639985502188422</v>
      </c>
      <c r="Z211" s="12">
        <v>0.8627458305372373</v>
      </c>
      <c r="AA211" s="12">
        <v>0.79824108474769595</v>
      </c>
      <c r="AB211" s="12">
        <f>AVERAGE(W211:Y211)</f>
        <v>0.7975745234449596</v>
      </c>
      <c r="AC211" s="18">
        <v>0.7311504966710769</v>
      </c>
      <c r="AD211" s="12">
        <v>0.7150064724037668</v>
      </c>
      <c r="AE211" s="12">
        <v>0.69570206064732165</v>
      </c>
      <c r="AF211" s="12">
        <v>0.66389046232863536</v>
      </c>
    </row>
    <row r="212" spans="9:32" x14ac:dyDescent="0.45">
      <c r="I212" t="s">
        <v>54</v>
      </c>
      <c r="J212">
        <v>10</v>
      </c>
      <c r="K212" t="s">
        <v>54</v>
      </c>
      <c r="L212">
        <v>10</v>
      </c>
      <c r="M212" t="s">
        <v>846</v>
      </c>
      <c r="W212" s="14">
        <f>AVERAGE(W207:W211)</f>
        <v>0.44978322992808817</v>
      </c>
      <c r="Y212" s="13">
        <f t="shared" ref="Y212:AB212" si="9">AVERAGE(Y207:Y211)</f>
        <v>0.70239279286700163</v>
      </c>
      <c r="Z212" s="13">
        <f>AVERAGE(Z207:Z211)</f>
        <v>0.69983491306220791</v>
      </c>
      <c r="AA212" s="13">
        <f>AVERAGE(AA207:AA211)</f>
        <v>0.57264965042037974</v>
      </c>
      <c r="AB212" s="13">
        <f t="shared" si="9"/>
        <v>0.57608801139754484</v>
      </c>
      <c r="AC212" s="19">
        <v>0.44978322992808817</v>
      </c>
      <c r="AD212" s="13">
        <f>AVERAGE(AD207:AD211)</f>
        <v>0.42165117648032446</v>
      </c>
      <c r="AE212" s="13">
        <f>AVERAGE(AE207:AE211)</f>
        <v>0.38874186578974318</v>
      </c>
      <c r="AF212" s="13">
        <f>AVERAGE(AF207:AF211)</f>
        <v>0.33624534262007089</v>
      </c>
    </row>
    <row r="213" spans="9:32" x14ac:dyDescent="0.45">
      <c r="I213" t="s">
        <v>61</v>
      </c>
      <c r="J213">
        <v>11</v>
      </c>
      <c r="K213" t="s">
        <v>61</v>
      </c>
      <c r="L213">
        <v>11</v>
      </c>
      <c r="M213" t="s">
        <v>846</v>
      </c>
      <c r="O213" t="s">
        <v>881</v>
      </c>
    </row>
    <row r="214" spans="9:32" x14ac:dyDescent="0.45">
      <c r="I214" t="s">
        <v>67</v>
      </c>
      <c r="J214">
        <v>12</v>
      </c>
      <c r="K214" t="s">
        <v>67</v>
      </c>
      <c r="L214">
        <v>11</v>
      </c>
      <c r="M214" t="s">
        <v>846</v>
      </c>
      <c r="O214" t="s">
        <v>855</v>
      </c>
      <c r="P214" t="s">
        <v>846</v>
      </c>
      <c r="Q214" t="s">
        <v>848</v>
      </c>
      <c r="R214" t="s">
        <v>849</v>
      </c>
      <c r="S214" t="s">
        <v>850</v>
      </c>
      <c r="T214" t="s">
        <v>861</v>
      </c>
      <c r="U214" t="s">
        <v>875</v>
      </c>
      <c r="V214" t="s">
        <v>876</v>
      </c>
      <c r="W214" t="s">
        <v>877</v>
      </c>
      <c r="X214" t="s">
        <v>878</v>
      </c>
      <c r="Y214" s="9" t="s">
        <v>874</v>
      </c>
      <c r="Z214" s="9" t="s">
        <v>870</v>
      </c>
      <c r="AA214" s="9" t="s">
        <v>871</v>
      </c>
      <c r="AB214" s="9" t="s">
        <v>872</v>
      </c>
      <c r="AC214" s="9" t="s">
        <v>873</v>
      </c>
    </row>
    <row r="215" spans="9:32" outlineLevel="1" x14ac:dyDescent="0.45">
      <c r="I215" t="s">
        <v>73</v>
      </c>
      <c r="J215">
        <v>13</v>
      </c>
      <c r="K215" t="s">
        <v>501</v>
      </c>
      <c r="L215">
        <v>13</v>
      </c>
      <c r="M215" t="s">
        <v>846</v>
      </c>
      <c r="O215" t="s">
        <v>8</v>
      </c>
      <c r="P215">
        <v>1</v>
      </c>
      <c r="Q215">
        <v>1</v>
      </c>
      <c r="R215">
        <v>1</v>
      </c>
      <c r="S215">
        <v>1</v>
      </c>
      <c r="T215">
        <v>4</v>
      </c>
      <c r="U215">
        <f>IF(SUMIFS(StandardName[RankValueInTheRanking],StandardName[StandardizedName],THE_ARWU[[#This Row],[Nazwa uczelni]],StandardName[Ranking],$U$1)=0,$N$3,SUMIFS(StandardName[RankValueInTheRanking],StandardName[StandardizedName],THE_ARWU[[#This Row],[Nazwa uczelni]],StandardName[Ranking],$U$1))</f>
        <v>2</v>
      </c>
      <c r="V215">
        <f>IF(SUMIFS(StandardName[RankValueInTheRanking],StandardName[StandardizedName],THE_ARWU[[#This Row],[Nazwa uczelni]],StandardName[Ranking],$V$1)=0,$N$3,SUMIFS(StandardName[RankValueInTheRanking],StandardName[StandardizedName],THE_ARWU[[#This Row],[Nazwa uczelni]],StandardName[Ranking],$V$1))</f>
        <v>1</v>
      </c>
      <c r="W215">
        <f>IF(SUMIFS(StandardName[RankValueInTheRanking],StandardName[StandardizedName],THE_ARWU[[#This Row],[Nazwa uczelni]],StandardName[Ranking],$W$1)=0,$N$3,SUMIFS(StandardName[RankValueInTheRanking],StandardName[StandardizedName],THE_ARWU[[#This Row],[Nazwa uczelni]],StandardName[Ranking],$W$1))</f>
        <v>5</v>
      </c>
      <c r="X215">
        <f>IF(SUMIFS(StandardName[RankValueInTheRanking],StandardName[StandardizedName],THE_ARWU[[#This Row],[Nazwa uczelni]],StandardName[Ranking],$X$1)=0,$N$3,SUMIFS(StandardName[RankValueInTheRanking],StandardName[StandardizedName],THE_ARWU[[#This Row],[Nazwa uczelni]],StandardName[Ranking],$X$1))</f>
        <v>1</v>
      </c>
      <c r="Y215" s="10">
        <f>SUM(THE_ARWU[[#This Row],[THE_RV1000]:[Webometrics_RV1000]])</f>
        <v>9</v>
      </c>
      <c r="Z215" s="10">
        <v>2</v>
      </c>
      <c r="AA215" s="10">
        <v>1</v>
      </c>
      <c r="AB215" s="10">
        <v>5</v>
      </c>
      <c r="AC215" s="10">
        <v>1</v>
      </c>
    </row>
    <row r="216" spans="9:32" outlineLevel="1" x14ac:dyDescent="0.45">
      <c r="I216" t="s">
        <v>79</v>
      </c>
      <c r="J216">
        <v>14</v>
      </c>
      <c r="K216" t="s">
        <v>79</v>
      </c>
      <c r="L216">
        <v>14</v>
      </c>
      <c r="M216" t="s">
        <v>846</v>
      </c>
      <c r="O216" t="s">
        <v>21</v>
      </c>
      <c r="P216">
        <v>1</v>
      </c>
      <c r="Q216">
        <v>1</v>
      </c>
      <c r="R216">
        <v>1</v>
      </c>
      <c r="S216">
        <v>1</v>
      </c>
      <c r="T216">
        <v>4</v>
      </c>
      <c r="U216">
        <f>IF(SUMIFS(StandardName[RankValueInTheRanking],StandardName[StandardizedName],THE_ARWU[[#This Row],[Nazwa uczelni]],StandardName[Ranking],$U$1)=0,$N$3,SUMIFS(StandardName[RankValueInTheRanking],StandardName[StandardizedName],THE_ARWU[[#This Row],[Nazwa uczelni]],StandardName[Ranking],$U$1))</f>
        <v>3</v>
      </c>
      <c r="V216">
        <f>IF(SUMIFS(StandardName[RankValueInTheRanking],StandardName[StandardizedName],THE_ARWU[[#This Row],[Nazwa uczelni]],StandardName[Ranking],$V$1)=0,$N$3,SUMIFS(StandardName[RankValueInTheRanking],StandardName[StandardizedName],THE_ARWU[[#This Row],[Nazwa uczelni]],StandardName[Ranking],$V$1))</f>
        <v>2</v>
      </c>
      <c r="W216">
        <f>IF(SUMIFS(StandardName[RankValueInTheRanking],StandardName[StandardizedName],THE_ARWU[[#This Row],[Nazwa uczelni]],StandardName[Ranking],$W$1)=0,$N$3,SUMIFS(StandardName[RankValueInTheRanking],StandardName[StandardizedName],THE_ARWU[[#This Row],[Nazwa uczelni]],StandardName[Ranking],$W$1))</f>
        <v>3</v>
      </c>
      <c r="X216">
        <f>IF(SUMIFS(StandardName[RankValueInTheRanking],StandardName[StandardizedName],THE_ARWU[[#This Row],[Nazwa uczelni]],StandardName[Ranking],$X$1)=0,$N$3,SUMIFS(StandardName[RankValueInTheRanking],StandardName[StandardizedName],THE_ARWU[[#This Row],[Nazwa uczelni]],StandardName[Ranking],$X$1))</f>
        <v>2</v>
      </c>
      <c r="Y216" s="10">
        <f>SUM(THE_ARWU[[#This Row],[THE_RV1000]:[Webometrics_RV1000]])</f>
        <v>10</v>
      </c>
      <c r="Z216" s="2">
        <v>3</v>
      </c>
      <c r="AA216" s="2">
        <v>2</v>
      </c>
      <c r="AB216" s="2">
        <v>3</v>
      </c>
      <c r="AC216" s="2">
        <v>2</v>
      </c>
    </row>
    <row r="217" spans="9:32" outlineLevel="1" x14ac:dyDescent="0.45">
      <c r="I217" t="s">
        <v>83</v>
      </c>
      <c r="J217">
        <v>15</v>
      </c>
      <c r="K217" t="s">
        <v>83</v>
      </c>
      <c r="L217">
        <v>15</v>
      </c>
      <c r="M217" t="s">
        <v>846</v>
      </c>
      <c r="O217" t="s">
        <v>27</v>
      </c>
      <c r="P217">
        <v>1</v>
      </c>
      <c r="Q217">
        <v>1</v>
      </c>
      <c r="R217">
        <v>1</v>
      </c>
      <c r="S217">
        <v>1</v>
      </c>
      <c r="T217">
        <v>4</v>
      </c>
      <c r="U217">
        <f>IF(SUMIFS(StandardName[RankValueInTheRanking],StandardName[StandardizedName],THE_ARWU[[#This Row],[Nazwa uczelni]],StandardName[Ranking],$U$1)=0,$N$3,SUMIFS(StandardName[RankValueInTheRanking],StandardName[StandardizedName],THE_ARWU[[#This Row],[Nazwa uczelni]],StandardName[Ranking],$U$1))</f>
        <v>5</v>
      </c>
      <c r="V217">
        <f>IF(SUMIFS(StandardName[RankValueInTheRanking],StandardName[StandardizedName],THE_ARWU[[#This Row],[Nazwa uczelni]],StandardName[Ranking],$V$1)=0,$N$3,SUMIFS(StandardName[RankValueInTheRanking],StandardName[StandardizedName],THE_ARWU[[#This Row],[Nazwa uczelni]],StandardName[Ranking],$V$1))</f>
        <v>3</v>
      </c>
      <c r="W217">
        <f>IF(SUMIFS(StandardName[RankValueInTheRanking],StandardName[StandardizedName],THE_ARWU[[#This Row],[Nazwa uczelni]],StandardName[Ranking],$W$1)=0,$N$3,SUMIFS(StandardName[RankValueInTheRanking],StandardName[StandardizedName],THE_ARWU[[#This Row],[Nazwa uczelni]],StandardName[Ranking],$W$1))</f>
        <v>1</v>
      </c>
      <c r="X217">
        <f>IF(SUMIFS(StandardName[RankValueInTheRanking],StandardName[StandardizedName],THE_ARWU[[#This Row],[Nazwa uczelni]],StandardName[Ranking],$X$1)=0,$N$3,SUMIFS(StandardName[RankValueInTheRanking],StandardName[StandardizedName],THE_ARWU[[#This Row],[Nazwa uczelni]],StandardName[Ranking],$X$1))</f>
        <v>3</v>
      </c>
      <c r="Y217" s="10">
        <f>SUM(THE_ARWU[[#This Row],[THE_RV1000]:[Webometrics_RV1000]])</f>
        <v>12</v>
      </c>
      <c r="Z217" s="2">
        <v>5</v>
      </c>
      <c r="AA217" s="2">
        <v>3</v>
      </c>
      <c r="AB217" s="2">
        <v>1</v>
      </c>
      <c r="AC217" s="2">
        <v>3</v>
      </c>
    </row>
    <row r="218" spans="9:32" outlineLevel="1" x14ac:dyDescent="0.45">
      <c r="I218" t="s">
        <v>89</v>
      </c>
      <c r="J218">
        <v>16</v>
      </c>
      <c r="K218" t="s">
        <v>89</v>
      </c>
      <c r="L218">
        <v>16</v>
      </c>
      <c r="M218" t="s">
        <v>846</v>
      </c>
      <c r="O218" t="s">
        <v>0</v>
      </c>
      <c r="P218">
        <v>1</v>
      </c>
      <c r="Q218">
        <v>1</v>
      </c>
      <c r="R218">
        <v>1</v>
      </c>
      <c r="S218">
        <v>1</v>
      </c>
      <c r="T218">
        <v>4</v>
      </c>
      <c r="U218">
        <f>IF(SUMIFS(StandardName[RankValueInTheRanking],StandardName[StandardizedName],THE_ARWU[[#This Row],[Nazwa uczelni]],StandardName[Ranking],$U$1)=0,$N$3,SUMIFS(StandardName[RankValueInTheRanking],StandardName[StandardizedName],THE_ARWU[[#This Row],[Nazwa uczelni]],StandardName[Ranking],$U$1))</f>
        <v>1</v>
      </c>
      <c r="V218">
        <f>IF(SUMIFS(StandardName[RankValueInTheRanking],StandardName[StandardizedName],THE_ARWU[[#This Row],[Nazwa uczelni]],StandardName[Ranking],$V$1)=0,$N$3,SUMIFS(StandardName[RankValueInTheRanking],StandardName[StandardizedName],THE_ARWU[[#This Row],[Nazwa uczelni]],StandardName[Ranking],$V$1))</f>
        <v>7</v>
      </c>
      <c r="W218">
        <f>IF(SUMIFS(StandardName[RankValueInTheRanking],StandardName[StandardizedName],THE_ARWU[[#This Row],[Nazwa uczelni]],StandardName[Ranking],$W$1)=0,$N$3,SUMIFS(StandardName[RankValueInTheRanking],StandardName[StandardizedName],THE_ARWU[[#This Row],[Nazwa uczelni]],StandardName[Ranking],$W$1))</f>
        <v>4</v>
      </c>
      <c r="X218">
        <f>IF(SUMIFS(StandardName[RankValueInTheRanking],StandardName[StandardizedName],THE_ARWU[[#This Row],[Nazwa uczelni]],StandardName[Ranking],$X$1)=0,$N$3,SUMIFS(StandardName[RankValueInTheRanking],StandardName[StandardizedName],THE_ARWU[[#This Row],[Nazwa uczelni]],StandardName[Ranking],$X$1))</f>
        <v>5</v>
      </c>
      <c r="Y218" s="10">
        <f>SUM(THE_ARWU[[#This Row],[THE_RV1000]:[Webometrics_RV1000]])</f>
        <v>17</v>
      </c>
      <c r="Z218" s="2">
        <v>1</v>
      </c>
      <c r="AA218" s="2">
        <v>7</v>
      </c>
      <c r="AB218" s="2">
        <v>4</v>
      </c>
      <c r="AC218" s="2">
        <v>5</v>
      </c>
    </row>
    <row r="219" spans="9:32" outlineLevel="1" x14ac:dyDescent="0.45">
      <c r="I219" t="s">
        <v>97</v>
      </c>
      <c r="J219">
        <v>17</v>
      </c>
      <c r="K219" t="s">
        <v>97</v>
      </c>
      <c r="L219">
        <v>17</v>
      </c>
      <c r="M219" t="s">
        <v>846</v>
      </c>
      <c r="O219" t="s">
        <v>15</v>
      </c>
      <c r="P219">
        <v>1</v>
      </c>
      <c r="Q219">
        <v>1</v>
      </c>
      <c r="R219">
        <v>1</v>
      </c>
      <c r="S219">
        <v>1</v>
      </c>
      <c r="T219">
        <v>4</v>
      </c>
      <c r="U219">
        <f>IF(SUMIFS(StandardName[RankValueInTheRanking],StandardName[StandardizedName],THE_ARWU[[#This Row],[Nazwa uczelni]],StandardName[Ranking],$U$1)=0,$N$3,SUMIFS(StandardName[RankValueInTheRanking],StandardName[StandardizedName],THE_ARWU[[#This Row],[Nazwa uczelni]],StandardName[Ranking],$U$1))</f>
        <v>3</v>
      </c>
      <c r="V219">
        <f>IF(SUMIFS(StandardName[RankValueInTheRanking],StandardName[StandardizedName],THE_ARWU[[#This Row],[Nazwa uczelni]],StandardName[Ranking],$V$1)=0,$N$3,SUMIFS(StandardName[RankValueInTheRanking],StandardName[StandardizedName],THE_ARWU[[#This Row],[Nazwa uczelni]],StandardName[Ranking],$V$1))</f>
        <v>4</v>
      </c>
      <c r="W219">
        <f>IF(SUMIFS(StandardName[RankValueInTheRanking],StandardName[StandardizedName],THE_ARWU[[#This Row],[Nazwa uczelni]],StandardName[Ranking],$W$1)=0,$N$3,SUMIFS(StandardName[RankValueInTheRanking],StandardName[StandardizedName],THE_ARWU[[#This Row],[Nazwa uczelni]],StandardName[Ranking],$W$1))</f>
        <v>2</v>
      </c>
      <c r="X219">
        <f>IF(SUMIFS(StandardName[RankValueInTheRanking],StandardName[StandardizedName],THE_ARWU[[#This Row],[Nazwa uczelni]],StandardName[Ranking],$X$1)=0,$N$3,SUMIFS(StandardName[RankValueInTheRanking],StandardName[StandardizedName],THE_ARWU[[#This Row],[Nazwa uczelni]],StandardName[Ranking],$X$1))</f>
        <v>12</v>
      </c>
      <c r="Y219" s="10">
        <f>SUM(THE_ARWU[[#This Row],[THE_RV1000]:[Webometrics_RV1000]])</f>
        <v>21</v>
      </c>
      <c r="Z219" s="2">
        <v>3</v>
      </c>
      <c r="AA219" s="2">
        <v>4</v>
      </c>
      <c r="AB219" s="2">
        <v>2</v>
      </c>
      <c r="AC219" s="2">
        <v>12</v>
      </c>
    </row>
    <row r="220" spans="9:32" outlineLevel="1" x14ac:dyDescent="0.45">
      <c r="I220" t="s">
        <v>102</v>
      </c>
      <c r="J220">
        <v>18</v>
      </c>
      <c r="K220" t="s">
        <v>102</v>
      </c>
      <c r="L220">
        <v>18</v>
      </c>
      <c r="M220" t="s">
        <v>846</v>
      </c>
      <c r="O220" t="s">
        <v>792</v>
      </c>
      <c r="P220">
        <v>1</v>
      </c>
      <c r="Q220">
        <v>1</v>
      </c>
      <c r="R220">
        <v>1</v>
      </c>
      <c r="S220">
        <v>1</v>
      </c>
      <c r="T220">
        <v>4</v>
      </c>
      <c r="U220">
        <f>IF(SUMIFS(StandardName[RankValueInTheRanking],StandardName[StandardizedName],THE_ARWU[[#This Row],[Nazwa uczelni]],StandardName[Ranking],$U$1)=0,$N$3,SUMIFS(StandardName[RankValueInTheRanking],StandardName[StandardizedName],THE_ARWU[[#This Row],[Nazwa uczelni]],StandardName[Ranking],$U$1))</f>
        <v>8</v>
      </c>
      <c r="V220">
        <f>IF(SUMIFS(StandardName[RankValueInTheRanking],StandardName[StandardizedName],THE_ARWU[[#This Row],[Nazwa uczelni]],StandardName[Ranking],$V$1)=0,$N$3,SUMIFS(StandardName[RankValueInTheRanking],StandardName[StandardizedName],THE_ARWU[[#This Row],[Nazwa uczelni]],StandardName[Ranking],$V$1))</f>
        <v>5</v>
      </c>
      <c r="W220">
        <f>IF(SUMIFS(StandardName[RankValueInTheRanking],StandardName[StandardizedName],THE_ARWU[[#This Row],[Nazwa uczelni]],StandardName[Ranking],$W$1)=0,$N$3,SUMIFS(StandardName[RankValueInTheRanking],StandardName[StandardizedName],THE_ARWU[[#This Row],[Nazwa uczelni]],StandardName[Ranking],$W$1))</f>
        <v>27</v>
      </c>
      <c r="X220">
        <f>IF(SUMIFS(StandardName[RankValueInTheRanking],StandardName[StandardizedName],THE_ARWU[[#This Row],[Nazwa uczelni]],StandardName[Ranking],$X$1)=0,$N$3,SUMIFS(StandardName[RankValueInTheRanking],StandardName[StandardizedName],THE_ARWU[[#This Row],[Nazwa uczelni]],StandardName[Ranking],$X$1))</f>
        <v>4</v>
      </c>
      <c r="Y220" s="10">
        <f>SUM(THE_ARWU[[#This Row],[THE_RV1000]:[Webometrics_RV1000]])</f>
        <v>44</v>
      </c>
      <c r="Z220" s="2">
        <v>8</v>
      </c>
      <c r="AA220" s="2">
        <v>5</v>
      </c>
      <c r="AB220" s="2">
        <v>27</v>
      </c>
      <c r="AC220" s="2">
        <v>4</v>
      </c>
    </row>
    <row r="221" spans="9:32" outlineLevel="1" x14ac:dyDescent="0.45">
      <c r="I221" t="s">
        <v>110</v>
      </c>
      <c r="J221">
        <v>19</v>
      </c>
      <c r="K221" t="s">
        <v>110</v>
      </c>
      <c r="L221">
        <v>19</v>
      </c>
      <c r="M221" t="s">
        <v>846</v>
      </c>
      <c r="O221" t="s">
        <v>61</v>
      </c>
      <c r="P221">
        <v>1</v>
      </c>
      <c r="Q221">
        <v>1</v>
      </c>
      <c r="R221">
        <v>1</v>
      </c>
      <c r="S221">
        <v>1</v>
      </c>
      <c r="T221">
        <v>4</v>
      </c>
      <c r="U221">
        <f>IF(SUMIFS(StandardName[RankValueInTheRanking],StandardName[StandardizedName],THE_ARWU[[#This Row],[Nazwa uczelni]],StandardName[Ranking],$U$1)=0,$N$3,SUMIFS(StandardName[RankValueInTheRanking],StandardName[StandardizedName],THE_ARWU[[#This Row],[Nazwa uczelni]],StandardName[Ranking],$U$1))</f>
        <v>11</v>
      </c>
      <c r="V221">
        <f>IF(SUMIFS(StandardName[RankValueInTheRanking],StandardName[StandardizedName],THE_ARWU[[#This Row],[Nazwa uczelni]],StandardName[Ranking],$V$1)=0,$N$3,SUMIFS(StandardName[RankValueInTheRanking],StandardName[StandardizedName],THE_ARWU[[#This Row],[Nazwa uczelni]],StandardName[Ranking],$V$1))</f>
        <v>8</v>
      </c>
      <c r="W221">
        <f>IF(SUMIFS(StandardName[RankValueInTheRanking],StandardName[StandardizedName],THE_ARWU[[#This Row],[Nazwa uczelni]],StandardName[Ranking],$W$1)=0,$N$3,SUMIFS(StandardName[RankValueInTheRanking],StandardName[StandardizedName],THE_ARWU[[#This Row],[Nazwa uczelni]],StandardName[Ranking],$W$1))</f>
        <v>22</v>
      </c>
      <c r="X221">
        <f>IF(SUMIFS(StandardName[RankValueInTheRanking],StandardName[StandardizedName],THE_ARWU[[#This Row],[Nazwa uczelni]],StandardName[Ranking],$X$1)=0,$N$3,SUMIFS(StandardName[RankValueInTheRanking],StandardName[StandardizedName],THE_ARWU[[#This Row],[Nazwa uczelni]],StandardName[Ranking],$X$1))</f>
        <v>9</v>
      </c>
      <c r="Y221" s="10">
        <f>SUM(THE_ARWU[[#This Row],[THE_RV1000]:[Webometrics_RV1000]])</f>
        <v>50</v>
      </c>
      <c r="Z221" s="2">
        <v>11</v>
      </c>
      <c r="AA221" s="2">
        <v>8</v>
      </c>
      <c r="AB221" s="2">
        <v>22</v>
      </c>
      <c r="AC221" s="2">
        <v>9</v>
      </c>
    </row>
    <row r="222" spans="9:32" outlineLevel="1" x14ac:dyDescent="0.45">
      <c r="I222" t="s">
        <v>118</v>
      </c>
      <c r="J222">
        <v>20</v>
      </c>
      <c r="K222" t="s">
        <v>118</v>
      </c>
      <c r="L222">
        <v>20</v>
      </c>
      <c r="M222" t="s">
        <v>846</v>
      </c>
      <c r="O222" t="s">
        <v>48</v>
      </c>
      <c r="P222">
        <v>1</v>
      </c>
      <c r="Q222">
        <v>1</v>
      </c>
      <c r="R222">
        <v>1</v>
      </c>
      <c r="S222">
        <v>1</v>
      </c>
      <c r="T222">
        <v>4</v>
      </c>
      <c r="U222">
        <f>IF(SUMIFS(StandardName[RankValueInTheRanking],StandardName[StandardizedName],THE_ARWU[[#This Row],[Nazwa uczelni]],StandardName[Ranking],$U$1)=0,$N$3,SUMIFS(StandardName[RankValueInTheRanking],StandardName[StandardizedName],THE_ARWU[[#This Row],[Nazwa uczelni]],StandardName[Ranking],$U$1))</f>
        <v>9</v>
      </c>
      <c r="V222">
        <f>IF(SUMIFS(StandardName[RankValueInTheRanking],StandardName[StandardizedName],THE_ARWU[[#This Row],[Nazwa uczelni]],StandardName[Ranking],$V$1)=0,$N$3,SUMIFS(StandardName[RankValueInTheRanking],StandardName[StandardizedName],THE_ARWU[[#This Row],[Nazwa uczelni]],StandardName[Ranking],$V$1))</f>
        <v>11</v>
      </c>
      <c r="W222">
        <f>IF(SUMIFS(StandardName[RankValueInTheRanking],StandardName[StandardizedName],THE_ARWU[[#This Row],[Nazwa uczelni]],StandardName[Ranking],$W$1)=0,$N$3,SUMIFS(StandardName[RankValueInTheRanking],StandardName[StandardizedName],THE_ARWU[[#This Row],[Nazwa uczelni]],StandardName[Ranking],$W$1))</f>
        <v>18</v>
      </c>
      <c r="X222">
        <f>IF(SUMIFS(StandardName[RankValueInTheRanking],StandardName[StandardizedName],THE_ARWU[[#This Row],[Nazwa uczelni]],StandardName[Ranking],$X$1)=0,$N$3,SUMIFS(StandardName[RankValueInTheRanking],StandardName[StandardizedName],THE_ARWU[[#This Row],[Nazwa uczelni]],StandardName[Ranking],$X$1))</f>
        <v>14</v>
      </c>
      <c r="Y222" s="10">
        <f>SUM(THE_ARWU[[#This Row],[THE_RV1000]:[Webometrics_RV1000]])</f>
        <v>52</v>
      </c>
      <c r="Z222" s="2">
        <v>9</v>
      </c>
      <c r="AA222" s="2">
        <v>11</v>
      </c>
      <c r="AB222" s="2">
        <v>18</v>
      </c>
      <c r="AC222" s="2">
        <v>14</v>
      </c>
    </row>
    <row r="223" spans="9:32" outlineLevel="1" x14ac:dyDescent="0.45">
      <c r="I223" t="s">
        <v>124</v>
      </c>
      <c r="J223">
        <v>21</v>
      </c>
      <c r="K223" t="s">
        <v>795</v>
      </c>
      <c r="L223">
        <v>21</v>
      </c>
      <c r="M223" t="s">
        <v>846</v>
      </c>
      <c r="O223" t="s">
        <v>79</v>
      </c>
      <c r="P223">
        <v>1</v>
      </c>
      <c r="Q223">
        <v>1</v>
      </c>
      <c r="R223">
        <v>1</v>
      </c>
      <c r="S223">
        <v>1</v>
      </c>
      <c r="T223">
        <v>4</v>
      </c>
      <c r="U223">
        <f>IF(SUMIFS(StandardName[RankValueInTheRanking],StandardName[StandardizedName],THE_ARWU[[#This Row],[Nazwa uczelni]],StandardName[Ranking],$U$1)=0,$N$3,SUMIFS(StandardName[RankValueInTheRanking],StandardName[StandardizedName],THE_ARWU[[#This Row],[Nazwa uczelni]],StandardName[Ranking],$U$1))</f>
        <v>14</v>
      </c>
      <c r="V223">
        <f>IF(SUMIFS(StandardName[RankValueInTheRanking],StandardName[StandardizedName],THE_ARWU[[#This Row],[Nazwa uczelni]],StandardName[Ranking],$V$1)=0,$N$3,SUMIFS(StandardName[RankValueInTheRanking],StandardName[StandardizedName],THE_ARWU[[#This Row],[Nazwa uczelni]],StandardName[Ranking],$V$1))</f>
        <v>15</v>
      </c>
      <c r="W223">
        <f>IF(SUMIFS(StandardName[RankValueInTheRanking],StandardName[StandardizedName],THE_ARWU[[#This Row],[Nazwa uczelni]],StandardName[Ranking],$W$1)=0,$N$3,SUMIFS(StandardName[RankValueInTheRanking],StandardName[StandardizedName],THE_ARWU[[#This Row],[Nazwa uczelni]],StandardName[Ranking],$W$1))</f>
        <v>13</v>
      </c>
      <c r="X223">
        <f>IF(SUMIFS(StandardName[RankValueInTheRanking],StandardName[StandardizedName],THE_ARWU[[#This Row],[Nazwa uczelni]],StandardName[Ranking],$X$1)=0,$N$3,SUMIFS(StandardName[RankValueInTheRanking],StandardName[StandardizedName],THE_ARWU[[#This Row],[Nazwa uczelni]],StandardName[Ranking],$X$1))</f>
        <v>11</v>
      </c>
      <c r="Y223" s="10">
        <f>SUM(THE_ARWU[[#This Row],[THE_RV1000]:[Webometrics_RV1000]])</f>
        <v>53</v>
      </c>
      <c r="Z223" s="2">
        <v>14</v>
      </c>
      <c r="AA223" s="2">
        <v>15</v>
      </c>
      <c r="AB223" s="2">
        <v>13</v>
      </c>
      <c r="AC223" s="2">
        <v>11</v>
      </c>
    </row>
    <row r="224" spans="9:32" outlineLevel="1" x14ac:dyDescent="0.45">
      <c r="I224" t="s">
        <v>127</v>
      </c>
      <c r="J224">
        <v>22</v>
      </c>
      <c r="K224" t="s">
        <v>796</v>
      </c>
      <c r="L224">
        <v>22</v>
      </c>
      <c r="M224" t="s">
        <v>846</v>
      </c>
      <c r="O224" t="s">
        <v>36</v>
      </c>
      <c r="P224">
        <v>1</v>
      </c>
      <c r="Q224">
        <v>1</v>
      </c>
      <c r="R224">
        <v>1</v>
      </c>
      <c r="S224">
        <v>1</v>
      </c>
      <c r="T224">
        <v>4</v>
      </c>
      <c r="U224">
        <f>IF(SUMIFS(StandardName[RankValueInTheRanking],StandardName[StandardizedName],THE_ARWU[[#This Row],[Nazwa uczelni]],StandardName[Ranking],$U$1)=0,$N$3,SUMIFS(StandardName[RankValueInTheRanking],StandardName[StandardizedName],THE_ARWU[[#This Row],[Nazwa uczelni]],StandardName[Ranking],$U$1))</f>
        <v>7</v>
      </c>
      <c r="V224">
        <f>IF(SUMIFS(StandardName[RankValueInTheRanking],StandardName[StandardizedName],THE_ARWU[[#This Row],[Nazwa uczelni]],StandardName[Ranking],$V$1)=0,$N$3,SUMIFS(StandardName[RankValueInTheRanking],StandardName[StandardizedName],THE_ARWU[[#This Row],[Nazwa uczelni]],StandardName[Ranking],$V$1))</f>
        <v>6</v>
      </c>
      <c r="W224">
        <f>IF(SUMIFS(StandardName[RankValueInTheRanking],StandardName[StandardizedName],THE_ARWU[[#This Row],[Nazwa uczelni]],StandardName[Ranking],$W$1)=0,$N$3,SUMIFS(StandardName[RankValueInTheRanking],StandardName[StandardizedName],THE_ARWU[[#This Row],[Nazwa uczelni]],StandardName[Ranking],$W$1))</f>
        <v>16</v>
      </c>
      <c r="X224">
        <f>IF(SUMIFS(StandardName[RankValueInTheRanking],StandardName[StandardizedName],THE_ARWU[[#This Row],[Nazwa uczelni]],StandardName[Ranking],$X$1)=0,$N$3,SUMIFS(StandardName[RankValueInTheRanking],StandardName[StandardizedName],THE_ARWU[[#This Row],[Nazwa uczelni]],StandardName[Ranking],$X$1))</f>
        <v>26</v>
      </c>
      <c r="Y224" s="10">
        <f>SUM(THE_ARWU[[#This Row],[THE_RV1000]:[Webometrics_RV1000]])</f>
        <v>55</v>
      </c>
      <c r="Z224" s="2">
        <v>7</v>
      </c>
      <c r="AA224" s="2">
        <v>6</v>
      </c>
      <c r="AB224" s="2">
        <v>16</v>
      </c>
      <c r="AC224" s="2">
        <v>26</v>
      </c>
    </row>
    <row r="225" spans="9:29" outlineLevel="1" x14ac:dyDescent="0.45">
      <c r="I225" t="s">
        <v>133</v>
      </c>
      <c r="J225">
        <v>23</v>
      </c>
      <c r="K225" t="s">
        <v>133</v>
      </c>
      <c r="L225">
        <v>23</v>
      </c>
      <c r="M225" t="s">
        <v>846</v>
      </c>
      <c r="O225" t="s">
        <v>118</v>
      </c>
      <c r="P225">
        <v>1</v>
      </c>
      <c r="Q225">
        <v>1</v>
      </c>
      <c r="R225">
        <v>1</v>
      </c>
      <c r="S225">
        <v>1</v>
      </c>
      <c r="T225">
        <v>4</v>
      </c>
      <c r="U225">
        <f>IF(SUMIFS(StandardName[RankValueInTheRanking],StandardName[StandardizedName],THE_ARWU[[#This Row],[Nazwa uczelni]],StandardName[Ranking],$U$1)=0,$N$3,SUMIFS(StandardName[RankValueInTheRanking],StandardName[StandardizedName],THE_ARWU[[#This Row],[Nazwa uczelni]],StandardName[Ranking],$U$1))</f>
        <v>20</v>
      </c>
      <c r="V225">
        <f>IF(SUMIFS(StandardName[RankValueInTheRanking],StandardName[StandardizedName],THE_ARWU[[#This Row],[Nazwa uczelni]],StandardName[Ranking],$V$1)=0,$N$3,SUMIFS(StandardName[RankValueInTheRanking],StandardName[StandardizedName],THE_ARWU[[#This Row],[Nazwa uczelni]],StandardName[Ranking],$V$1))</f>
        <v>12</v>
      </c>
      <c r="W225">
        <f>IF(SUMIFS(StandardName[RankValueInTheRanking],StandardName[StandardizedName],THE_ARWU[[#This Row],[Nazwa uczelni]],StandardName[Ranking],$W$1)=0,$N$3,SUMIFS(StandardName[RankValueInTheRanking],StandardName[StandardizedName],THE_ARWU[[#This Row],[Nazwa uczelni]],StandardName[Ranking],$W$1))</f>
        <v>20</v>
      </c>
      <c r="X225">
        <f>IF(SUMIFS(StandardName[RankValueInTheRanking],StandardName[StandardizedName],THE_ARWU[[#This Row],[Nazwa uczelni]],StandardName[Ranking],$X$1)=0,$N$3,SUMIFS(StandardName[RankValueInTheRanking],StandardName[StandardizedName],THE_ARWU[[#This Row],[Nazwa uczelni]],StandardName[Ranking],$X$1))</f>
        <v>8</v>
      </c>
      <c r="Y225" s="10">
        <f>SUM(THE_ARWU[[#This Row],[THE_RV1000]:[Webometrics_RV1000]])</f>
        <v>60</v>
      </c>
      <c r="Z225" s="2">
        <v>20</v>
      </c>
      <c r="AA225" s="2">
        <v>12</v>
      </c>
      <c r="AB225" s="2">
        <v>20</v>
      </c>
      <c r="AC225" s="2">
        <v>8</v>
      </c>
    </row>
    <row r="226" spans="9:29" outlineLevel="1" x14ac:dyDescent="0.45">
      <c r="I226" t="s">
        <v>139</v>
      </c>
      <c r="J226">
        <v>24</v>
      </c>
      <c r="K226" t="s">
        <v>139</v>
      </c>
      <c r="L226">
        <v>24</v>
      </c>
      <c r="M226" t="s">
        <v>846</v>
      </c>
      <c r="O226" t="s">
        <v>501</v>
      </c>
      <c r="P226">
        <v>1</v>
      </c>
      <c r="Q226">
        <v>1</v>
      </c>
      <c r="R226">
        <v>1</v>
      </c>
      <c r="S226">
        <v>1</v>
      </c>
      <c r="T226">
        <v>4</v>
      </c>
      <c r="U226">
        <f>IF(SUMIFS(StandardName[RankValueInTheRanking],StandardName[StandardizedName],THE_ARWU[[#This Row],[Nazwa uczelni]],StandardName[Ranking],$U$1)=0,$N$3,SUMIFS(StandardName[RankValueInTheRanking],StandardName[StandardizedName],THE_ARWU[[#This Row],[Nazwa uczelni]],StandardName[Ranking],$U$1))</f>
        <v>13</v>
      </c>
      <c r="V226">
        <f>IF(SUMIFS(StandardName[RankValueInTheRanking],StandardName[StandardizedName],THE_ARWU[[#This Row],[Nazwa uczelni]],StandardName[Ranking],$V$1)=0,$N$3,SUMIFS(StandardName[RankValueInTheRanking],StandardName[StandardizedName],THE_ARWU[[#This Row],[Nazwa uczelni]],StandardName[Ranking],$V$1))</f>
        <v>10</v>
      </c>
      <c r="W226">
        <f>IF(SUMIFS(StandardName[RankValueInTheRanking],StandardName[StandardizedName],THE_ARWU[[#This Row],[Nazwa uczelni]],StandardName[Ranking],$W$1)=0,$N$3,SUMIFS(StandardName[RankValueInTheRanking],StandardName[StandardizedName],THE_ARWU[[#This Row],[Nazwa uczelni]],StandardName[Ranking],$W$1))</f>
        <v>10</v>
      </c>
      <c r="X226">
        <f>IF(SUMIFS(StandardName[RankValueInTheRanking],StandardName[StandardizedName],THE_ARWU[[#This Row],[Nazwa uczelni]],StandardName[Ranking],$X$1)=0,$N$3,SUMIFS(StandardName[RankValueInTheRanking],StandardName[StandardizedName],THE_ARWU[[#This Row],[Nazwa uczelni]],StandardName[Ranking],$X$1))</f>
        <v>29</v>
      </c>
      <c r="Y226" s="10">
        <f>SUM(THE_ARWU[[#This Row],[THE_RV1000]:[Webometrics_RV1000]])</f>
        <v>62</v>
      </c>
      <c r="Z226" s="2">
        <v>13</v>
      </c>
      <c r="AA226" s="2">
        <v>10</v>
      </c>
      <c r="AB226" s="2">
        <v>10</v>
      </c>
      <c r="AC226" s="2">
        <v>29</v>
      </c>
    </row>
    <row r="227" spans="9:29" outlineLevel="1" x14ac:dyDescent="0.45">
      <c r="I227" t="s">
        <v>145</v>
      </c>
      <c r="J227">
        <v>25</v>
      </c>
      <c r="K227" t="s">
        <v>145</v>
      </c>
      <c r="L227">
        <v>25</v>
      </c>
      <c r="M227" t="s">
        <v>846</v>
      </c>
      <c r="O227" t="s">
        <v>83</v>
      </c>
      <c r="P227">
        <v>1</v>
      </c>
      <c r="Q227">
        <v>1</v>
      </c>
      <c r="R227">
        <v>1</v>
      </c>
      <c r="S227">
        <v>1</v>
      </c>
      <c r="T227">
        <v>4</v>
      </c>
      <c r="U227">
        <f>IF(SUMIFS(StandardName[RankValueInTheRanking],StandardName[StandardizedName],THE_ARWU[[#This Row],[Nazwa uczelni]],StandardName[Ranking],$U$1)=0,$N$3,SUMIFS(StandardName[RankValueInTheRanking],StandardName[StandardizedName],THE_ARWU[[#This Row],[Nazwa uczelni]],StandardName[Ranking],$U$1))</f>
        <v>15</v>
      </c>
      <c r="V227">
        <f>IF(SUMIFS(StandardName[RankValueInTheRanking],StandardName[StandardizedName],THE_ARWU[[#This Row],[Nazwa uczelni]],StandardName[Ranking],$V$1)=0,$N$3,SUMIFS(StandardName[RankValueInTheRanking],StandardName[StandardizedName],THE_ARWU[[#This Row],[Nazwa uczelni]],StandardName[Ranking],$V$1))</f>
        <v>14</v>
      </c>
      <c r="W227">
        <f>IF(SUMIFS(StandardName[RankValueInTheRanking],StandardName[StandardizedName],THE_ARWU[[#This Row],[Nazwa uczelni]],StandardName[Ranking],$W$1)=0,$N$3,SUMIFS(StandardName[RankValueInTheRanking],StandardName[StandardizedName],THE_ARWU[[#This Row],[Nazwa uczelni]],StandardName[Ranking],$W$1))</f>
        <v>24</v>
      </c>
      <c r="X227">
        <f>IF(SUMIFS(StandardName[RankValueInTheRanking],StandardName[StandardizedName],THE_ARWU[[#This Row],[Nazwa uczelni]],StandardName[Ranking],$X$1)=0,$N$3,SUMIFS(StandardName[RankValueInTheRanking],StandardName[StandardizedName],THE_ARWU[[#This Row],[Nazwa uczelni]],StandardName[Ranking],$X$1))</f>
        <v>10</v>
      </c>
      <c r="Y227" s="10">
        <f>SUM(THE_ARWU[[#This Row],[THE_RV1000]:[Webometrics_RV1000]])</f>
        <v>63</v>
      </c>
      <c r="Z227" s="2">
        <v>15</v>
      </c>
      <c r="AA227" s="2">
        <v>14</v>
      </c>
      <c r="AB227" s="2">
        <v>24</v>
      </c>
      <c r="AC227" s="2">
        <v>10</v>
      </c>
    </row>
    <row r="228" spans="9:29" outlineLevel="1" x14ac:dyDescent="0.45">
      <c r="I228" t="s">
        <v>151</v>
      </c>
      <c r="J228">
        <v>26</v>
      </c>
      <c r="K228" t="s">
        <v>151</v>
      </c>
      <c r="L228">
        <v>26</v>
      </c>
      <c r="M228" t="s">
        <v>846</v>
      </c>
      <c r="O228" t="s">
        <v>796</v>
      </c>
      <c r="P228">
        <v>1</v>
      </c>
      <c r="Q228">
        <v>1</v>
      </c>
      <c r="R228">
        <v>1</v>
      </c>
      <c r="S228">
        <v>1</v>
      </c>
      <c r="T228">
        <v>4</v>
      </c>
      <c r="U228">
        <f>IF(SUMIFS(StandardName[RankValueInTheRanking],StandardName[StandardizedName],THE_ARWU[[#This Row],[Nazwa uczelni]],StandardName[Ranking],$U$1)=0,$N$3,SUMIFS(StandardName[RankValueInTheRanking],StandardName[StandardizedName],THE_ARWU[[#This Row],[Nazwa uczelni]],StandardName[Ranking],$U$1))</f>
        <v>22</v>
      </c>
      <c r="V228">
        <f>IF(SUMIFS(StandardName[RankValueInTheRanking],StandardName[StandardizedName],THE_ARWU[[#This Row],[Nazwa uczelni]],StandardName[Ranking],$V$1)=0,$N$3,SUMIFS(StandardName[RankValueInTheRanking],StandardName[StandardizedName],THE_ARWU[[#This Row],[Nazwa uczelni]],StandardName[Ranking],$V$1))</f>
        <v>18</v>
      </c>
      <c r="W228">
        <f>IF(SUMIFS(StandardName[RankValueInTheRanking],StandardName[StandardizedName],THE_ARWU[[#This Row],[Nazwa uczelni]],StandardName[Ranking],$W$1)=0,$N$3,SUMIFS(StandardName[RankValueInTheRanking],StandardName[StandardizedName],THE_ARWU[[#This Row],[Nazwa uczelni]],StandardName[Ranking],$W$1))</f>
        <v>8</v>
      </c>
      <c r="X228">
        <f>IF(SUMIFS(StandardName[RankValueInTheRanking],StandardName[StandardizedName],THE_ARWU[[#This Row],[Nazwa uczelni]],StandardName[Ranking],$X$1)=0,$N$3,SUMIFS(StandardName[RankValueInTheRanking],StandardName[StandardizedName],THE_ARWU[[#This Row],[Nazwa uczelni]],StandardName[Ranking],$X$1))</f>
        <v>15</v>
      </c>
      <c r="Y228" s="10">
        <f>SUM(THE_ARWU[[#This Row],[THE_RV1000]:[Webometrics_RV1000]])</f>
        <v>63</v>
      </c>
      <c r="Z228" s="2">
        <v>22</v>
      </c>
      <c r="AA228" s="2">
        <v>18</v>
      </c>
      <c r="AB228" s="2">
        <v>8</v>
      </c>
      <c r="AC228" s="2">
        <v>15</v>
      </c>
    </row>
    <row r="229" spans="9:29" outlineLevel="1" x14ac:dyDescent="0.45">
      <c r="I229" t="s">
        <v>157</v>
      </c>
      <c r="J229">
        <v>27</v>
      </c>
      <c r="K229" t="s">
        <v>157</v>
      </c>
      <c r="L229">
        <v>26</v>
      </c>
      <c r="M229" t="s">
        <v>846</v>
      </c>
      <c r="O229" t="s">
        <v>67</v>
      </c>
      <c r="P229">
        <v>1</v>
      </c>
      <c r="Q229">
        <v>1</v>
      </c>
      <c r="R229">
        <v>1</v>
      </c>
      <c r="S229">
        <v>1</v>
      </c>
      <c r="T229">
        <v>4</v>
      </c>
      <c r="U229">
        <f>IF(SUMIFS(StandardName[RankValueInTheRanking],StandardName[StandardizedName],THE_ARWU[[#This Row],[Nazwa uczelni]],StandardName[Ranking],$U$1)=0,$N$3,SUMIFS(StandardName[RankValueInTheRanking],StandardName[StandardizedName],THE_ARWU[[#This Row],[Nazwa uczelni]],StandardName[Ranking],$U$1))</f>
        <v>11</v>
      </c>
      <c r="V229">
        <f>IF(SUMIFS(StandardName[RankValueInTheRanking],StandardName[StandardizedName],THE_ARWU[[#This Row],[Nazwa uczelni]],StandardName[Ranking],$V$1)=0,$N$3,SUMIFS(StandardName[RankValueInTheRanking],StandardName[StandardizedName],THE_ARWU[[#This Row],[Nazwa uczelni]],StandardName[Ranking],$V$1))</f>
        <v>20</v>
      </c>
      <c r="W229">
        <f>IF(SUMIFS(StandardName[RankValueInTheRanking],StandardName[StandardizedName],THE_ARWU[[#This Row],[Nazwa uczelni]],StandardName[Ranking],$W$1)=0,$N$3,SUMIFS(StandardName[RankValueInTheRanking],StandardName[StandardizedName],THE_ARWU[[#This Row],[Nazwa uczelni]],StandardName[Ranking],$W$1))</f>
        <v>9</v>
      </c>
      <c r="X229">
        <f>IF(SUMIFS(StandardName[RankValueInTheRanking],StandardName[StandardizedName],THE_ARWU[[#This Row],[Nazwa uczelni]],StandardName[Ranking],$X$1)=0,$N$3,SUMIFS(StandardName[RankValueInTheRanking],StandardName[StandardizedName],THE_ARWU[[#This Row],[Nazwa uczelni]],StandardName[Ranking],$X$1))</f>
        <v>30</v>
      </c>
      <c r="Y229" s="10">
        <f>SUM(THE_ARWU[[#This Row],[THE_RV1000]:[Webometrics_RV1000]])</f>
        <v>70</v>
      </c>
      <c r="Z229" s="2">
        <v>11</v>
      </c>
      <c r="AA229" s="2">
        <v>20</v>
      </c>
      <c r="AB229" s="2">
        <v>9</v>
      </c>
      <c r="AC229" s="2">
        <v>30</v>
      </c>
    </row>
    <row r="230" spans="9:29" outlineLevel="1" x14ac:dyDescent="0.45">
      <c r="I230" t="s">
        <v>162</v>
      </c>
      <c r="J230">
        <v>28</v>
      </c>
      <c r="K230" t="s">
        <v>162</v>
      </c>
      <c r="L230">
        <v>28</v>
      </c>
      <c r="M230" t="s">
        <v>846</v>
      </c>
      <c r="O230" t="s">
        <v>54</v>
      </c>
      <c r="P230">
        <v>1</v>
      </c>
      <c r="Q230">
        <v>1</v>
      </c>
      <c r="R230">
        <v>1</v>
      </c>
      <c r="S230">
        <v>1</v>
      </c>
      <c r="T230">
        <v>4</v>
      </c>
      <c r="U230">
        <f>IF(SUMIFS(StandardName[RankValueInTheRanking],StandardName[StandardizedName],THE_ARWU[[#This Row],[Nazwa uczelni]],StandardName[Ranking],$U$1)=0,$N$3,SUMIFS(StandardName[RankValueInTheRanking],StandardName[StandardizedName],THE_ARWU[[#This Row],[Nazwa uczelni]],StandardName[Ranking],$U$1))</f>
        <v>10</v>
      </c>
      <c r="V230">
        <f>IF(SUMIFS(StandardName[RankValueInTheRanking],StandardName[StandardizedName],THE_ARWU[[#This Row],[Nazwa uczelni]],StandardName[Ranking],$V$1)=0,$N$3,SUMIFS(StandardName[RankValueInTheRanking],StandardName[StandardizedName],THE_ARWU[[#This Row],[Nazwa uczelni]],StandardName[Ranking],$V$1))</f>
        <v>23</v>
      </c>
      <c r="W230">
        <f>IF(SUMIFS(StandardName[RankValueInTheRanking],StandardName[StandardizedName],THE_ARWU[[#This Row],[Nazwa uczelni]],StandardName[Ranking],$W$1)=0,$N$3,SUMIFS(StandardName[RankValueInTheRanking],StandardName[StandardizedName],THE_ARWU[[#This Row],[Nazwa uczelni]],StandardName[Ranking],$W$1))</f>
        <v>6</v>
      </c>
      <c r="X230">
        <f>IF(SUMIFS(StandardName[RankValueInTheRanking],StandardName[StandardizedName],THE_ARWU[[#This Row],[Nazwa uczelni]],StandardName[Ranking],$X$1)=0,$N$3,SUMIFS(StandardName[RankValueInTheRanking],StandardName[StandardizedName],THE_ARWU[[#This Row],[Nazwa uczelni]],StandardName[Ranking],$X$1))</f>
        <v>35</v>
      </c>
      <c r="Y230" s="10">
        <f>SUM(THE_ARWU[[#This Row],[THE_RV1000]:[Webometrics_RV1000]])</f>
        <v>74</v>
      </c>
      <c r="Z230" s="2">
        <v>10</v>
      </c>
      <c r="AA230" s="2">
        <v>23</v>
      </c>
      <c r="AB230" s="2">
        <v>6</v>
      </c>
      <c r="AC230" s="2">
        <v>35</v>
      </c>
    </row>
    <row r="231" spans="9:29" outlineLevel="1" x14ac:dyDescent="0.45">
      <c r="I231" t="s">
        <v>169</v>
      </c>
      <c r="J231">
        <v>29</v>
      </c>
      <c r="K231" t="s">
        <v>169</v>
      </c>
      <c r="L231">
        <v>29</v>
      </c>
      <c r="M231" t="s">
        <v>846</v>
      </c>
      <c r="O231" t="s">
        <v>31</v>
      </c>
      <c r="P231">
        <v>1</v>
      </c>
      <c r="Q231">
        <v>1</v>
      </c>
      <c r="R231">
        <v>1</v>
      </c>
      <c r="S231">
        <v>1</v>
      </c>
      <c r="T231">
        <v>4</v>
      </c>
      <c r="U231">
        <f>IF(SUMIFS(StandardName[RankValueInTheRanking],StandardName[StandardizedName],THE_ARWU[[#This Row],[Nazwa uczelni]],StandardName[Ranking],$U$1)=0,$N$3,SUMIFS(StandardName[RankValueInTheRanking],StandardName[StandardizedName],THE_ARWU[[#This Row],[Nazwa uczelni]],StandardName[Ranking],$U$1))</f>
        <v>6</v>
      </c>
      <c r="V231">
        <f>IF(SUMIFS(StandardName[RankValueInTheRanking],StandardName[StandardizedName],THE_ARWU[[#This Row],[Nazwa uczelni]],StandardName[Ranking],$V$1)=0,$N$3,SUMIFS(StandardName[RankValueInTheRanking],StandardName[StandardizedName],THE_ARWU[[#This Row],[Nazwa uczelni]],StandardName[Ranking],$V$1))</f>
        <v>9</v>
      </c>
      <c r="W231">
        <f>IF(SUMIFS(StandardName[RankValueInTheRanking],StandardName[StandardizedName],THE_ARWU[[#This Row],[Nazwa uczelni]],StandardName[Ranking],$W$1)=0,$N$3,SUMIFS(StandardName[RankValueInTheRanking],StandardName[StandardizedName],THE_ARWU[[#This Row],[Nazwa uczelni]],StandardName[Ranking],$W$1))</f>
        <v>6</v>
      </c>
      <c r="X231">
        <f>IF(SUMIFS(StandardName[RankValueInTheRanking],StandardName[StandardizedName],THE_ARWU[[#This Row],[Nazwa uczelni]],StandardName[Ranking],$X$1)=0,$N$3,SUMIFS(StandardName[RankValueInTheRanking],StandardName[StandardizedName],THE_ARWU[[#This Row],[Nazwa uczelni]],StandardName[Ranking],$X$1))</f>
        <v>59</v>
      </c>
      <c r="Y231" s="10">
        <f>SUM(THE_ARWU[[#This Row],[THE_RV1000]:[Webometrics_RV1000]])</f>
        <v>80</v>
      </c>
      <c r="Z231" s="2">
        <v>6</v>
      </c>
      <c r="AA231" s="2">
        <v>9</v>
      </c>
      <c r="AB231" s="2">
        <v>6</v>
      </c>
      <c r="AC231" s="2">
        <v>59</v>
      </c>
    </row>
    <row r="232" spans="9:29" outlineLevel="1" x14ac:dyDescent="0.45">
      <c r="I232" t="s">
        <v>173</v>
      </c>
      <c r="J232">
        <v>30</v>
      </c>
      <c r="K232" t="s">
        <v>173</v>
      </c>
      <c r="L232">
        <v>30</v>
      </c>
      <c r="M232" t="s">
        <v>846</v>
      </c>
      <c r="O232" t="s">
        <v>89</v>
      </c>
      <c r="P232">
        <v>1</v>
      </c>
      <c r="Q232">
        <v>1</v>
      </c>
      <c r="R232">
        <v>1</v>
      </c>
      <c r="S232">
        <v>1</v>
      </c>
      <c r="T232">
        <v>4</v>
      </c>
      <c r="U232">
        <f>IF(SUMIFS(StandardName[RankValueInTheRanking],StandardName[StandardizedName],THE_ARWU[[#This Row],[Nazwa uczelni]],StandardName[Ranking],$U$1)=0,$N$3,SUMIFS(StandardName[RankValueInTheRanking],StandardName[StandardizedName],THE_ARWU[[#This Row],[Nazwa uczelni]],StandardName[Ranking],$U$1))</f>
        <v>16</v>
      </c>
      <c r="V232">
        <f>IF(SUMIFS(StandardName[RankValueInTheRanking],StandardName[StandardizedName],THE_ARWU[[#This Row],[Nazwa uczelni]],StandardName[Ranking],$V$1)=0,$N$3,SUMIFS(StandardName[RankValueInTheRanking],StandardName[StandardizedName],THE_ARWU[[#This Row],[Nazwa uczelni]],StandardName[Ranking],$V$1))</f>
        <v>26</v>
      </c>
      <c r="W232">
        <f>IF(SUMIFS(StandardName[RankValueInTheRanking],StandardName[StandardizedName],THE_ARWU[[#This Row],[Nazwa uczelni]],StandardName[Ranking],$W$1)=0,$N$3,SUMIFS(StandardName[RankValueInTheRanking],StandardName[StandardizedName],THE_ARWU[[#This Row],[Nazwa uczelni]],StandardName[Ranking],$W$1))</f>
        <v>14</v>
      </c>
      <c r="X232">
        <f>IF(SUMIFS(StandardName[RankValueInTheRanking],StandardName[StandardizedName],THE_ARWU[[#This Row],[Nazwa uczelni]],StandardName[Ranking],$X$1)=0,$N$3,SUMIFS(StandardName[RankValueInTheRanking],StandardName[StandardizedName],THE_ARWU[[#This Row],[Nazwa uczelni]],StandardName[Ranking],$X$1))</f>
        <v>24</v>
      </c>
      <c r="Y232" s="10">
        <f>SUM(THE_ARWU[[#This Row],[THE_RV1000]:[Webometrics_RV1000]])</f>
        <v>80</v>
      </c>
      <c r="Z232" s="2">
        <v>16</v>
      </c>
      <c r="AA232" s="2">
        <v>26</v>
      </c>
      <c r="AB232" s="2">
        <v>14</v>
      </c>
      <c r="AC232" s="2">
        <v>24</v>
      </c>
    </row>
    <row r="233" spans="9:29" outlineLevel="1" x14ac:dyDescent="0.45">
      <c r="I233" t="s">
        <v>179</v>
      </c>
      <c r="J233">
        <v>31</v>
      </c>
      <c r="K233" t="s">
        <v>179</v>
      </c>
      <c r="L233">
        <v>31</v>
      </c>
      <c r="M233" t="s">
        <v>846</v>
      </c>
      <c r="O233" t="s">
        <v>133</v>
      </c>
      <c r="P233">
        <v>1</v>
      </c>
      <c r="Q233">
        <v>1</v>
      </c>
      <c r="R233">
        <v>1</v>
      </c>
      <c r="S233">
        <v>1</v>
      </c>
      <c r="T233">
        <v>4</v>
      </c>
      <c r="U233">
        <f>IF(SUMIFS(StandardName[RankValueInTheRanking],StandardName[StandardizedName],THE_ARWU[[#This Row],[Nazwa uczelni]],StandardName[Ranking],$U$1)=0,$N$3,SUMIFS(StandardName[RankValueInTheRanking],StandardName[StandardizedName],THE_ARWU[[#This Row],[Nazwa uczelni]],StandardName[Ranking],$U$1))</f>
        <v>23</v>
      </c>
      <c r="V233">
        <f>IF(SUMIFS(StandardName[RankValueInTheRanking],StandardName[StandardizedName],THE_ARWU[[#This Row],[Nazwa uczelni]],StandardName[Ranking],$V$1)=0,$N$3,SUMIFS(StandardName[RankValueInTheRanking],StandardName[StandardizedName],THE_ARWU[[#This Row],[Nazwa uczelni]],StandardName[Ranking],$V$1))</f>
        <v>28</v>
      </c>
      <c r="W233">
        <f>IF(SUMIFS(StandardName[RankValueInTheRanking],StandardName[StandardizedName],THE_ARWU[[#This Row],[Nazwa uczelni]],StandardName[Ranking],$W$1)=0,$N$3,SUMIFS(StandardName[RankValueInTheRanking],StandardName[StandardizedName],THE_ARWU[[#This Row],[Nazwa uczelni]],StandardName[Ranking],$W$1))</f>
        <v>25</v>
      </c>
      <c r="X233">
        <f>IF(SUMIFS(StandardName[RankValueInTheRanking],StandardName[StandardizedName],THE_ARWU[[#This Row],[Nazwa uczelni]],StandardName[Ranking],$X$1)=0,$N$3,SUMIFS(StandardName[RankValueInTheRanking],StandardName[StandardizedName],THE_ARWU[[#This Row],[Nazwa uczelni]],StandardName[Ranking],$X$1))</f>
        <v>6</v>
      </c>
      <c r="Y233" s="10">
        <f>SUM(THE_ARWU[[#This Row],[THE_RV1000]:[Webometrics_RV1000]])</f>
        <v>82</v>
      </c>
      <c r="Z233" s="2">
        <v>23</v>
      </c>
      <c r="AA233" s="2">
        <v>28</v>
      </c>
      <c r="AB233" s="2">
        <v>25</v>
      </c>
      <c r="AC233" s="2">
        <v>6</v>
      </c>
    </row>
    <row r="234" spans="9:29" outlineLevel="1" x14ac:dyDescent="0.45">
      <c r="I234" t="s">
        <v>185</v>
      </c>
      <c r="J234">
        <v>32</v>
      </c>
      <c r="K234" t="s">
        <v>797</v>
      </c>
      <c r="L234">
        <v>32</v>
      </c>
      <c r="M234" t="s">
        <v>846</v>
      </c>
      <c r="O234" t="s">
        <v>102</v>
      </c>
      <c r="P234">
        <v>1</v>
      </c>
      <c r="Q234">
        <v>1</v>
      </c>
      <c r="R234">
        <v>1</v>
      </c>
      <c r="S234">
        <v>1</v>
      </c>
      <c r="T234">
        <v>4</v>
      </c>
      <c r="U234">
        <f>IF(SUMIFS(StandardName[RankValueInTheRanking],StandardName[StandardizedName],THE_ARWU[[#This Row],[Nazwa uczelni]],StandardName[Ranking],$U$1)=0,$N$3,SUMIFS(StandardName[RankValueInTheRanking],StandardName[StandardizedName],THE_ARWU[[#This Row],[Nazwa uczelni]],StandardName[Ranking],$U$1))</f>
        <v>18</v>
      </c>
      <c r="V234">
        <f>IF(SUMIFS(StandardName[RankValueInTheRanking],StandardName[StandardizedName],THE_ARWU[[#This Row],[Nazwa uczelni]],StandardName[Ranking],$V$1)=0,$N$3,SUMIFS(StandardName[RankValueInTheRanking],StandardName[StandardizedName],THE_ARWU[[#This Row],[Nazwa uczelni]],StandardName[Ranking],$V$1))</f>
        <v>22</v>
      </c>
      <c r="W234">
        <f>IF(SUMIFS(StandardName[RankValueInTheRanking],StandardName[StandardizedName],THE_ARWU[[#This Row],[Nazwa uczelni]],StandardName[Ranking],$W$1)=0,$N$3,SUMIFS(StandardName[RankValueInTheRanking],StandardName[StandardizedName],THE_ARWU[[#This Row],[Nazwa uczelni]],StandardName[Ranking],$W$1))</f>
        <v>34</v>
      </c>
      <c r="X234">
        <f>IF(SUMIFS(StandardName[RankValueInTheRanking],StandardName[StandardizedName],THE_ARWU[[#This Row],[Nazwa uczelni]],StandardName[Ranking],$X$1)=0,$N$3,SUMIFS(StandardName[RankValueInTheRanking],StandardName[StandardizedName],THE_ARWU[[#This Row],[Nazwa uczelni]],StandardName[Ranking],$X$1))</f>
        <v>16</v>
      </c>
      <c r="Y234" s="10">
        <f>SUM(THE_ARWU[[#This Row],[THE_RV1000]:[Webometrics_RV1000]])</f>
        <v>90</v>
      </c>
      <c r="Z234" s="2">
        <v>18</v>
      </c>
      <c r="AA234" s="2">
        <v>22</v>
      </c>
      <c r="AB234" s="2">
        <v>34</v>
      </c>
      <c r="AC234" s="2">
        <v>16</v>
      </c>
    </row>
    <row r="235" spans="9:29" outlineLevel="1" x14ac:dyDescent="0.45">
      <c r="I235" t="s">
        <v>190</v>
      </c>
      <c r="J235">
        <v>33</v>
      </c>
      <c r="K235" t="s">
        <v>190</v>
      </c>
      <c r="L235">
        <v>33</v>
      </c>
      <c r="M235" t="s">
        <v>846</v>
      </c>
      <c r="O235" t="s">
        <v>795</v>
      </c>
      <c r="P235">
        <v>1</v>
      </c>
      <c r="Q235">
        <v>1</v>
      </c>
      <c r="R235">
        <v>1</v>
      </c>
      <c r="S235">
        <v>1</v>
      </c>
      <c r="T235">
        <v>4</v>
      </c>
      <c r="U235">
        <f>IF(SUMIFS(StandardName[RankValueInTheRanking],StandardName[StandardizedName],THE_ARWU[[#This Row],[Nazwa uczelni]],StandardName[Ranking],$U$1)=0,$N$3,SUMIFS(StandardName[RankValueInTheRanking],StandardName[StandardizedName],THE_ARWU[[#This Row],[Nazwa uczelni]],StandardName[Ranking],$U$1))</f>
        <v>21</v>
      </c>
      <c r="V235">
        <f>IF(SUMIFS(StandardName[RankValueInTheRanking],StandardName[StandardizedName],THE_ARWU[[#This Row],[Nazwa uczelni]],StandardName[Ranking],$V$1)=0,$N$3,SUMIFS(StandardName[RankValueInTheRanking],StandardName[StandardizedName],THE_ARWU[[#This Row],[Nazwa uczelni]],StandardName[Ranking],$V$1))</f>
        <v>13</v>
      </c>
      <c r="W235">
        <f>IF(SUMIFS(StandardName[RankValueInTheRanking],StandardName[StandardizedName],THE_ARWU[[#This Row],[Nazwa uczelni]],StandardName[Ranking],$W$1)=0,$N$3,SUMIFS(StandardName[RankValueInTheRanking],StandardName[StandardizedName],THE_ARWU[[#This Row],[Nazwa uczelni]],StandardName[Ranking],$W$1))</f>
        <v>44</v>
      </c>
      <c r="X235">
        <f>IF(SUMIFS(StandardName[RankValueInTheRanking],StandardName[StandardizedName],THE_ARWU[[#This Row],[Nazwa uczelni]],StandardName[Ranking],$X$1)=0,$N$3,SUMIFS(StandardName[RankValueInTheRanking],StandardName[StandardizedName],THE_ARWU[[#This Row],[Nazwa uczelni]],StandardName[Ranking],$X$1))</f>
        <v>13</v>
      </c>
      <c r="Y235" s="10">
        <f>SUM(THE_ARWU[[#This Row],[THE_RV1000]:[Webometrics_RV1000]])</f>
        <v>91</v>
      </c>
      <c r="Z235" s="2">
        <v>21</v>
      </c>
      <c r="AA235" s="2">
        <v>13</v>
      </c>
      <c r="AB235" s="2">
        <v>44</v>
      </c>
      <c r="AC235" s="2">
        <v>13</v>
      </c>
    </row>
    <row r="236" spans="9:29" outlineLevel="1" x14ac:dyDescent="0.45">
      <c r="I236" t="s">
        <v>194</v>
      </c>
      <c r="J236">
        <v>34</v>
      </c>
      <c r="K236" t="s">
        <v>194</v>
      </c>
      <c r="L236">
        <v>34</v>
      </c>
      <c r="M236" t="s">
        <v>846</v>
      </c>
      <c r="O236" t="s">
        <v>97</v>
      </c>
      <c r="P236">
        <v>1</v>
      </c>
      <c r="Q236">
        <v>1</v>
      </c>
      <c r="R236">
        <v>1</v>
      </c>
      <c r="S236">
        <v>1</v>
      </c>
      <c r="T236">
        <v>4</v>
      </c>
      <c r="U236">
        <f>IF(SUMIFS(StandardName[RankValueInTheRanking],StandardName[StandardizedName],THE_ARWU[[#This Row],[Nazwa uczelni]],StandardName[Ranking],$U$1)=0,$N$3,SUMIFS(StandardName[RankValueInTheRanking],StandardName[StandardizedName],THE_ARWU[[#This Row],[Nazwa uczelni]],StandardName[Ranking],$U$1))</f>
        <v>17</v>
      </c>
      <c r="V236">
        <f>IF(SUMIFS(StandardName[RankValueInTheRanking],StandardName[StandardizedName],THE_ARWU[[#This Row],[Nazwa uczelni]],StandardName[Ranking],$V$1)=0,$N$3,SUMIFS(StandardName[RankValueInTheRanking],StandardName[StandardizedName],THE_ARWU[[#This Row],[Nazwa uczelni]],StandardName[Ranking],$V$1))</f>
        <v>34</v>
      </c>
      <c r="W236">
        <f>IF(SUMIFS(StandardName[RankValueInTheRanking],StandardName[StandardizedName],THE_ARWU[[#This Row],[Nazwa uczelni]],StandardName[Ranking],$W$1)=0,$N$3,SUMIFS(StandardName[RankValueInTheRanking],StandardName[StandardizedName],THE_ARWU[[#This Row],[Nazwa uczelni]],StandardName[Ranking],$W$1))</f>
        <v>12</v>
      </c>
      <c r="X236">
        <f>IF(SUMIFS(StandardName[RankValueInTheRanking],StandardName[StandardizedName],THE_ARWU[[#This Row],[Nazwa uczelni]],StandardName[Ranking],$X$1)=0,$N$3,SUMIFS(StandardName[RankValueInTheRanking],StandardName[StandardizedName],THE_ARWU[[#This Row],[Nazwa uczelni]],StandardName[Ranking],$X$1))</f>
        <v>32</v>
      </c>
      <c r="Y236" s="10">
        <f>SUM(THE_ARWU[[#This Row],[THE_RV1000]:[Webometrics_RV1000]])</f>
        <v>95</v>
      </c>
      <c r="Z236" s="2">
        <v>17</v>
      </c>
      <c r="AA236" s="2">
        <v>34</v>
      </c>
      <c r="AB236" s="2">
        <v>12</v>
      </c>
      <c r="AC236" s="2">
        <v>32</v>
      </c>
    </row>
    <row r="237" spans="9:29" outlineLevel="1" x14ac:dyDescent="0.45">
      <c r="I237" t="s">
        <v>199</v>
      </c>
      <c r="J237">
        <v>35</v>
      </c>
      <c r="K237" t="s">
        <v>199</v>
      </c>
      <c r="L237">
        <v>35</v>
      </c>
      <c r="M237" t="s">
        <v>846</v>
      </c>
      <c r="O237" t="s">
        <v>151</v>
      </c>
      <c r="P237">
        <v>1</v>
      </c>
      <c r="Q237">
        <v>1</v>
      </c>
      <c r="R237">
        <v>1</v>
      </c>
      <c r="S237">
        <v>1</v>
      </c>
      <c r="T237">
        <v>4</v>
      </c>
      <c r="U237">
        <f>IF(SUMIFS(StandardName[RankValueInTheRanking],StandardName[StandardizedName],THE_ARWU[[#This Row],[Nazwa uczelni]],StandardName[Ranking],$U$1)=0,$N$3,SUMIFS(StandardName[RankValueInTheRanking],StandardName[StandardizedName],THE_ARWU[[#This Row],[Nazwa uczelni]],StandardName[Ranking],$U$1))</f>
        <v>26</v>
      </c>
      <c r="V237">
        <f>IF(SUMIFS(StandardName[RankValueInTheRanking],StandardName[StandardizedName],THE_ARWU[[#This Row],[Nazwa uczelni]],StandardName[Ranking],$V$1)=0,$N$3,SUMIFS(StandardName[RankValueInTheRanking],StandardName[StandardizedName],THE_ARWU[[#This Row],[Nazwa uczelni]],StandardName[Ranking],$V$1))</f>
        <v>30</v>
      </c>
      <c r="W237">
        <f>IF(SUMIFS(StandardName[RankValueInTheRanking],StandardName[StandardizedName],THE_ARWU[[#This Row],[Nazwa uczelni]],StandardName[Ranking],$W$1)=0,$N$3,SUMIFS(StandardName[RankValueInTheRanking],StandardName[StandardizedName],THE_ARWU[[#This Row],[Nazwa uczelni]],StandardName[Ranking],$W$1))</f>
        <v>32</v>
      </c>
      <c r="X237">
        <f>IF(SUMIFS(StandardName[RankValueInTheRanking],StandardName[StandardizedName],THE_ARWU[[#This Row],[Nazwa uczelni]],StandardName[Ranking],$X$1)=0,$N$3,SUMIFS(StandardName[RankValueInTheRanking],StandardName[StandardizedName],THE_ARWU[[#This Row],[Nazwa uczelni]],StandardName[Ranking],$X$1))</f>
        <v>22</v>
      </c>
      <c r="Y237" s="10">
        <f>SUM(THE_ARWU[[#This Row],[THE_RV1000]:[Webometrics_RV1000]])</f>
        <v>110</v>
      </c>
      <c r="Z237" s="2">
        <v>26</v>
      </c>
      <c r="AA237" s="2">
        <v>30</v>
      </c>
      <c r="AB237" s="2">
        <v>32</v>
      </c>
      <c r="AC237" s="2">
        <v>22</v>
      </c>
    </row>
    <row r="238" spans="9:29" outlineLevel="1" x14ac:dyDescent="0.45">
      <c r="I238" t="s">
        <v>205</v>
      </c>
      <c r="J238">
        <v>36</v>
      </c>
      <c r="K238" t="s">
        <v>614</v>
      </c>
      <c r="L238">
        <v>36</v>
      </c>
      <c r="M238" t="s">
        <v>846</v>
      </c>
      <c r="O238" t="s">
        <v>139</v>
      </c>
      <c r="P238">
        <v>1</v>
      </c>
      <c r="Q238">
        <v>1</v>
      </c>
      <c r="R238">
        <v>1</v>
      </c>
      <c r="S238">
        <v>1</v>
      </c>
      <c r="T238">
        <v>4</v>
      </c>
      <c r="U238">
        <f>IF(SUMIFS(StandardName[RankValueInTheRanking],StandardName[StandardizedName],THE_ARWU[[#This Row],[Nazwa uczelni]],StandardName[Ranking],$U$1)=0,$N$3,SUMIFS(StandardName[RankValueInTheRanking],StandardName[StandardizedName],THE_ARWU[[#This Row],[Nazwa uczelni]],StandardName[Ranking],$U$1))</f>
        <v>24</v>
      </c>
      <c r="V238">
        <f>IF(SUMIFS(StandardName[RankValueInTheRanking],StandardName[StandardizedName],THE_ARWU[[#This Row],[Nazwa uczelni]],StandardName[Ranking],$V$1)=0,$N$3,SUMIFS(StandardName[RankValueInTheRanking],StandardName[StandardizedName],THE_ARWU[[#This Row],[Nazwa uczelni]],StandardName[Ranking],$V$1))</f>
        <v>25</v>
      </c>
      <c r="W238">
        <f>IF(SUMIFS(StandardName[RankValueInTheRanking],StandardName[StandardizedName],THE_ARWU[[#This Row],[Nazwa uczelni]],StandardName[Ranking],$W$1)=0,$N$3,SUMIFS(StandardName[RankValueInTheRanking],StandardName[StandardizedName],THE_ARWU[[#This Row],[Nazwa uczelni]],StandardName[Ranking],$W$1))</f>
        <v>39</v>
      </c>
      <c r="X238">
        <f>IF(SUMIFS(StandardName[RankValueInTheRanking],StandardName[StandardizedName],THE_ARWU[[#This Row],[Nazwa uczelni]],StandardName[Ranking],$X$1)=0,$N$3,SUMIFS(StandardName[RankValueInTheRanking],StandardName[StandardizedName],THE_ARWU[[#This Row],[Nazwa uczelni]],StandardName[Ranking],$X$1))</f>
        <v>23</v>
      </c>
      <c r="Y238" s="10">
        <f>SUM(THE_ARWU[[#This Row],[THE_RV1000]:[Webometrics_RV1000]])</f>
        <v>111</v>
      </c>
      <c r="Z238" s="2">
        <v>24</v>
      </c>
      <c r="AA238" s="2">
        <v>25</v>
      </c>
      <c r="AB238" s="2">
        <v>39</v>
      </c>
      <c r="AC238" s="2">
        <v>23</v>
      </c>
    </row>
    <row r="239" spans="9:29" outlineLevel="1" x14ac:dyDescent="0.45">
      <c r="I239" t="s">
        <v>211</v>
      </c>
      <c r="J239">
        <v>37</v>
      </c>
      <c r="K239" t="s">
        <v>211</v>
      </c>
      <c r="L239">
        <v>37</v>
      </c>
      <c r="M239" t="s">
        <v>846</v>
      </c>
      <c r="O239" t="s">
        <v>797</v>
      </c>
      <c r="P239">
        <v>1</v>
      </c>
      <c r="Q239">
        <v>1</v>
      </c>
      <c r="R239">
        <v>1</v>
      </c>
      <c r="S239">
        <v>1</v>
      </c>
      <c r="T239">
        <v>4</v>
      </c>
      <c r="U239">
        <f>IF(SUMIFS(StandardName[RankValueInTheRanking],StandardName[StandardizedName],THE_ARWU[[#This Row],[Nazwa uczelni]],StandardName[Ranking],$U$1)=0,$N$3,SUMIFS(StandardName[RankValueInTheRanking],StandardName[StandardizedName],THE_ARWU[[#This Row],[Nazwa uczelni]],StandardName[Ranking],$U$1))</f>
        <v>32</v>
      </c>
      <c r="V239">
        <f>IF(SUMIFS(StandardName[RankValueInTheRanking],StandardName[StandardizedName],THE_ARWU[[#This Row],[Nazwa uczelni]],StandardName[Ranking],$V$1)=0,$N$3,SUMIFS(StandardName[RankValueInTheRanking],StandardName[StandardizedName],THE_ARWU[[#This Row],[Nazwa uczelni]],StandardName[Ranking],$V$1))</f>
        <v>21</v>
      </c>
      <c r="W239">
        <f>IF(SUMIFS(StandardName[RankValueInTheRanking],StandardName[StandardizedName],THE_ARWU[[#This Row],[Nazwa uczelni]],StandardName[Ranking],$W$1)=0,$N$3,SUMIFS(StandardName[RankValueInTheRanking],StandardName[StandardizedName],THE_ARWU[[#This Row],[Nazwa uczelni]],StandardName[Ranking],$W$1))</f>
        <v>53</v>
      </c>
      <c r="X239">
        <f>IF(SUMIFS(StandardName[RankValueInTheRanking],StandardName[StandardizedName],THE_ARWU[[#This Row],[Nazwa uczelni]],StandardName[Ranking],$X$1)=0,$N$3,SUMIFS(StandardName[RankValueInTheRanking],StandardName[StandardizedName],THE_ARWU[[#This Row],[Nazwa uczelni]],StandardName[Ranking],$X$1))</f>
        <v>17</v>
      </c>
      <c r="Y239" s="10">
        <f>SUM(THE_ARWU[[#This Row],[THE_RV1000]:[Webometrics_RV1000]])</f>
        <v>123</v>
      </c>
      <c r="Z239" s="2">
        <v>32</v>
      </c>
      <c r="AA239" s="2">
        <v>21</v>
      </c>
      <c r="AB239" s="2">
        <v>53</v>
      </c>
      <c r="AC239" s="2">
        <v>17</v>
      </c>
    </row>
    <row r="240" spans="9:29" outlineLevel="1" x14ac:dyDescent="0.45">
      <c r="I240" t="s">
        <v>216</v>
      </c>
      <c r="J240">
        <v>38</v>
      </c>
      <c r="K240" t="s">
        <v>216</v>
      </c>
      <c r="L240">
        <v>38</v>
      </c>
      <c r="M240" t="s">
        <v>846</v>
      </c>
      <c r="O240" t="s">
        <v>169</v>
      </c>
      <c r="P240">
        <v>1</v>
      </c>
      <c r="Q240">
        <v>1</v>
      </c>
      <c r="R240">
        <v>1</v>
      </c>
      <c r="S240">
        <v>1</v>
      </c>
      <c r="T240">
        <v>4</v>
      </c>
      <c r="U240">
        <f>IF(SUMIFS(StandardName[RankValueInTheRanking],StandardName[StandardizedName],THE_ARWU[[#This Row],[Nazwa uczelni]],StandardName[Ranking],$U$1)=0,$N$3,SUMIFS(StandardName[RankValueInTheRanking],StandardName[StandardizedName],THE_ARWU[[#This Row],[Nazwa uczelni]],StandardName[Ranking],$U$1))</f>
        <v>29</v>
      </c>
      <c r="V240">
        <f>IF(SUMIFS(StandardName[RankValueInTheRanking],StandardName[StandardizedName],THE_ARWU[[#This Row],[Nazwa uczelni]],StandardName[Ranking],$V$1)=0,$N$3,SUMIFS(StandardName[RankValueInTheRanking],StandardName[StandardizedName],THE_ARWU[[#This Row],[Nazwa uczelni]],StandardName[Ranking],$V$1))</f>
        <v>35</v>
      </c>
      <c r="W240">
        <f>IF(SUMIFS(StandardName[RankValueInTheRanking],StandardName[StandardizedName],THE_ARWU[[#This Row],[Nazwa uczelni]],StandardName[Ranking],$W$1)=0,$N$3,SUMIFS(StandardName[RankValueInTheRanking],StandardName[StandardizedName],THE_ARWU[[#This Row],[Nazwa uczelni]],StandardName[Ranking],$W$1))</f>
        <v>15</v>
      </c>
      <c r="X240">
        <f>IF(SUMIFS(StandardName[RankValueInTheRanking],StandardName[StandardizedName],THE_ARWU[[#This Row],[Nazwa uczelni]],StandardName[Ranking],$X$1)=0,$N$3,SUMIFS(StandardName[RankValueInTheRanking],StandardName[StandardizedName],THE_ARWU[[#This Row],[Nazwa uczelni]],StandardName[Ranking],$X$1))</f>
        <v>44</v>
      </c>
      <c r="Y240" s="10">
        <f>SUM(THE_ARWU[[#This Row],[THE_RV1000]:[Webometrics_RV1000]])</f>
        <v>123</v>
      </c>
      <c r="Z240" s="2">
        <v>29</v>
      </c>
      <c r="AA240" s="2">
        <v>35</v>
      </c>
      <c r="AB240" s="2">
        <v>15</v>
      </c>
      <c r="AC240" s="2">
        <v>44</v>
      </c>
    </row>
    <row r="241" spans="9:29" outlineLevel="1" x14ac:dyDescent="0.45">
      <c r="I241" t="s">
        <v>220</v>
      </c>
      <c r="J241">
        <v>39</v>
      </c>
      <c r="K241" t="s">
        <v>854</v>
      </c>
      <c r="L241">
        <v>39</v>
      </c>
      <c r="M241" t="s">
        <v>846</v>
      </c>
      <c r="O241" t="s">
        <v>145</v>
      </c>
      <c r="P241">
        <v>1</v>
      </c>
      <c r="Q241">
        <v>1</v>
      </c>
      <c r="R241">
        <v>1</v>
      </c>
      <c r="S241">
        <v>1</v>
      </c>
      <c r="T241">
        <v>4</v>
      </c>
      <c r="U241">
        <f>IF(SUMIFS(StandardName[RankValueInTheRanking],StandardName[StandardizedName],THE_ARWU[[#This Row],[Nazwa uczelni]],StandardName[Ranking],$U$1)=0,$N$3,SUMIFS(StandardName[RankValueInTheRanking],StandardName[StandardizedName],THE_ARWU[[#This Row],[Nazwa uczelni]],StandardName[Ranking],$U$1))</f>
        <v>25</v>
      </c>
      <c r="V241">
        <f>IF(SUMIFS(StandardName[RankValueInTheRanking],StandardName[StandardizedName],THE_ARWU[[#This Row],[Nazwa uczelni]],StandardName[Ranking],$V$1)=0,$N$3,SUMIFS(StandardName[RankValueInTheRanking],StandardName[StandardizedName],THE_ARWU[[#This Row],[Nazwa uczelni]],StandardName[Ranking],$V$1))</f>
        <v>31</v>
      </c>
      <c r="W241">
        <f>IF(SUMIFS(StandardName[RankValueInTheRanking],StandardName[StandardizedName],THE_ARWU[[#This Row],[Nazwa uczelni]],StandardName[Ranking],$W$1)=0,$N$3,SUMIFS(StandardName[RankValueInTheRanking],StandardName[StandardizedName],THE_ARWU[[#This Row],[Nazwa uczelni]],StandardName[Ranking],$W$1))</f>
        <v>50</v>
      </c>
      <c r="X241">
        <f>IF(SUMIFS(StandardName[RankValueInTheRanking],StandardName[StandardizedName],THE_ARWU[[#This Row],[Nazwa uczelni]],StandardName[Ranking],$X$1)=0,$N$3,SUMIFS(StandardName[RankValueInTheRanking],StandardName[StandardizedName],THE_ARWU[[#This Row],[Nazwa uczelni]],StandardName[Ranking],$X$1))</f>
        <v>21</v>
      </c>
      <c r="Y241" s="10">
        <f>SUM(THE_ARWU[[#This Row],[THE_RV1000]:[Webometrics_RV1000]])</f>
        <v>127</v>
      </c>
      <c r="Z241" s="2">
        <v>25</v>
      </c>
      <c r="AA241" s="2">
        <v>31</v>
      </c>
      <c r="AB241" s="2">
        <v>50</v>
      </c>
      <c r="AC241" s="2">
        <v>21</v>
      </c>
    </row>
    <row r="242" spans="9:29" outlineLevel="1" x14ac:dyDescent="0.45">
      <c r="I242" t="s">
        <v>225</v>
      </c>
      <c r="J242">
        <v>40</v>
      </c>
      <c r="K242" t="s">
        <v>225</v>
      </c>
      <c r="L242">
        <v>40</v>
      </c>
      <c r="M242" t="s">
        <v>846</v>
      </c>
      <c r="O242" t="s">
        <v>157</v>
      </c>
      <c r="P242">
        <v>1</v>
      </c>
      <c r="Q242">
        <v>1</v>
      </c>
      <c r="R242">
        <v>1</v>
      </c>
      <c r="S242">
        <v>1</v>
      </c>
      <c r="T242">
        <v>4</v>
      </c>
      <c r="U242">
        <f>IF(SUMIFS(StandardName[RankValueInTheRanking],StandardName[StandardizedName],THE_ARWU[[#This Row],[Nazwa uczelni]],StandardName[Ranking],$U$1)=0,$N$3,SUMIFS(StandardName[RankValueInTheRanking],StandardName[StandardizedName],THE_ARWU[[#This Row],[Nazwa uczelni]],StandardName[Ranking],$U$1))</f>
        <v>26</v>
      </c>
      <c r="V242">
        <f>IF(SUMIFS(StandardName[RankValueInTheRanking],StandardName[StandardizedName],THE_ARWU[[#This Row],[Nazwa uczelni]],StandardName[Ranking],$V$1)=0,$N$3,SUMIFS(StandardName[RankValueInTheRanking],StandardName[StandardizedName],THE_ARWU[[#This Row],[Nazwa uczelni]],StandardName[Ranking],$V$1))</f>
        <v>17</v>
      </c>
      <c r="W242">
        <f>IF(SUMIFS(StandardName[RankValueInTheRanking],StandardName[StandardizedName],THE_ARWU[[#This Row],[Nazwa uczelni]],StandardName[Ranking],$W$1)=0,$N$3,SUMIFS(StandardName[RankValueInTheRanking],StandardName[StandardizedName],THE_ARWU[[#This Row],[Nazwa uczelni]],StandardName[Ranking],$W$1))</f>
        <v>80</v>
      </c>
      <c r="X242">
        <f>IF(SUMIFS(StandardName[RankValueInTheRanking],StandardName[StandardizedName],THE_ARWU[[#This Row],[Nazwa uczelni]],StandardName[Ranking],$X$1)=0,$N$3,SUMIFS(StandardName[RankValueInTheRanking],StandardName[StandardizedName],THE_ARWU[[#This Row],[Nazwa uczelni]],StandardName[Ranking],$X$1))</f>
        <v>7</v>
      </c>
      <c r="Y242" s="10">
        <f>SUM(THE_ARWU[[#This Row],[THE_RV1000]:[Webometrics_RV1000]])</f>
        <v>130</v>
      </c>
      <c r="Z242" s="2">
        <v>26</v>
      </c>
      <c r="AA242" s="2">
        <v>17</v>
      </c>
      <c r="AB242" s="2">
        <v>80</v>
      </c>
      <c r="AC242" s="2">
        <v>7</v>
      </c>
    </row>
    <row r="243" spans="9:29" outlineLevel="1" x14ac:dyDescent="0.45">
      <c r="I243" t="s">
        <v>230</v>
      </c>
      <c r="J243">
        <v>41</v>
      </c>
      <c r="K243" t="s">
        <v>230</v>
      </c>
      <c r="L243">
        <v>41</v>
      </c>
      <c r="M243" t="s">
        <v>846</v>
      </c>
      <c r="O243" t="s">
        <v>194</v>
      </c>
      <c r="P243">
        <v>1</v>
      </c>
      <c r="Q243">
        <v>1</v>
      </c>
      <c r="R243">
        <v>1</v>
      </c>
      <c r="S243">
        <v>1</v>
      </c>
      <c r="T243">
        <v>4</v>
      </c>
      <c r="U243">
        <f>IF(SUMIFS(StandardName[RankValueInTheRanking],StandardName[StandardizedName],THE_ARWU[[#This Row],[Nazwa uczelni]],StandardName[Ranking],$U$1)=0,$N$3,SUMIFS(StandardName[RankValueInTheRanking],StandardName[StandardizedName],THE_ARWU[[#This Row],[Nazwa uczelni]],StandardName[Ranking],$U$1))</f>
        <v>34</v>
      </c>
      <c r="V243">
        <f>IF(SUMIFS(StandardName[RankValueInTheRanking],StandardName[StandardizedName],THE_ARWU[[#This Row],[Nazwa uczelni]],StandardName[Ranking],$V$1)=0,$N$3,SUMIFS(StandardName[RankValueInTheRanking],StandardName[StandardizedName],THE_ARWU[[#This Row],[Nazwa uczelni]],StandardName[Ranking],$V$1))</f>
        <v>32</v>
      </c>
      <c r="W243">
        <f>IF(SUMIFS(StandardName[RankValueInTheRanking],StandardName[StandardizedName],THE_ARWU[[#This Row],[Nazwa uczelni]],StandardName[Ranking],$W$1)=0,$N$3,SUMIFS(StandardName[RankValueInTheRanking],StandardName[StandardizedName],THE_ARWU[[#This Row],[Nazwa uczelni]],StandardName[Ranking],$W$1))</f>
        <v>33</v>
      </c>
      <c r="X243">
        <f>IF(SUMIFS(StandardName[RankValueInTheRanking],StandardName[StandardizedName],THE_ARWU[[#This Row],[Nazwa uczelni]],StandardName[Ranking],$X$1)=0,$N$3,SUMIFS(StandardName[RankValueInTheRanking],StandardName[StandardizedName],THE_ARWU[[#This Row],[Nazwa uczelni]],StandardName[Ranking],$X$1))</f>
        <v>40</v>
      </c>
      <c r="Y243" s="10">
        <f>SUM(THE_ARWU[[#This Row],[THE_RV1000]:[Webometrics_RV1000]])</f>
        <v>139</v>
      </c>
      <c r="Z243" s="2">
        <v>34</v>
      </c>
      <c r="AA243" s="2">
        <v>32</v>
      </c>
      <c r="AB243" s="2">
        <v>33</v>
      </c>
      <c r="AC243" s="2">
        <v>40</v>
      </c>
    </row>
    <row r="244" spans="9:29" outlineLevel="1" x14ac:dyDescent="0.45">
      <c r="I244" t="s">
        <v>234</v>
      </c>
      <c r="J244">
        <v>42</v>
      </c>
      <c r="K244" t="s">
        <v>234</v>
      </c>
      <c r="L244">
        <v>42</v>
      </c>
      <c r="M244" t="s">
        <v>846</v>
      </c>
      <c r="O244" t="s">
        <v>110</v>
      </c>
      <c r="P244">
        <v>1</v>
      </c>
      <c r="Q244">
        <v>1</v>
      </c>
      <c r="R244">
        <v>1</v>
      </c>
      <c r="S244">
        <v>1</v>
      </c>
      <c r="T244">
        <v>4</v>
      </c>
      <c r="U244">
        <f>IF(SUMIFS(StandardName[RankValueInTheRanking],StandardName[StandardizedName],THE_ARWU[[#This Row],[Nazwa uczelni]],StandardName[Ranking],$U$1)=0,$N$3,SUMIFS(StandardName[RankValueInTheRanking],StandardName[StandardizedName],THE_ARWU[[#This Row],[Nazwa uczelni]],StandardName[Ranking],$U$1))</f>
        <v>19</v>
      </c>
      <c r="V244">
        <f>IF(SUMIFS(StandardName[RankValueInTheRanking],StandardName[StandardizedName],THE_ARWU[[#This Row],[Nazwa uczelni]],StandardName[Ranking],$V$1)=0,$N$3,SUMIFS(StandardName[RankValueInTheRanking],StandardName[StandardizedName],THE_ARWU[[#This Row],[Nazwa uczelni]],StandardName[Ranking],$V$1))</f>
        <v>71</v>
      </c>
      <c r="W244">
        <f>IF(SUMIFS(StandardName[RankValueInTheRanking],StandardName[StandardizedName],THE_ARWU[[#This Row],[Nazwa uczelni]],StandardName[Ranking],$W$1)=0,$N$3,SUMIFS(StandardName[RankValueInTheRanking],StandardName[StandardizedName],THE_ARWU[[#This Row],[Nazwa uczelni]],StandardName[Ranking],$W$1))</f>
        <v>11</v>
      </c>
      <c r="X244">
        <f>IF(SUMIFS(StandardName[RankValueInTheRanking],StandardName[StandardizedName],THE_ARWU[[#This Row],[Nazwa uczelni]],StandardName[Ranking],$X$1)=0,$N$3,SUMIFS(StandardName[RankValueInTheRanking],StandardName[StandardizedName],THE_ARWU[[#This Row],[Nazwa uczelni]],StandardName[Ranking],$X$1))</f>
        <v>47</v>
      </c>
      <c r="Y244" s="10">
        <f>SUM(THE_ARWU[[#This Row],[THE_RV1000]:[Webometrics_RV1000]])</f>
        <v>148</v>
      </c>
      <c r="Z244" s="2">
        <v>19</v>
      </c>
      <c r="AA244" s="2">
        <v>71</v>
      </c>
      <c r="AB244" s="2">
        <v>11</v>
      </c>
      <c r="AC244" s="2">
        <v>47</v>
      </c>
    </row>
    <row r="245" spans="9:29" outlineLevel="1" x14ac:dyDescent="0.45">
      <c r="I245" t="s">
        <v>239</v>
      </c>
      <c r="J245">
        <v>43</v>
      </c>
      <c r="K245" t="s">
        <v>239</v>
      </c>
      <c r="L245">
        <v>43</v>
      </c>
      <c r="M245" t="s">
        <v>846</v>
      </c>
      <c r="O245" t="s">
        <v>854</v>
      </c>
      <c r="P245">
        <v>1</v>
      </c>
      <c r="Q245">
        <v>1</v>
      </c>
      <c r="R245">
        <v>1</v>
      </c>
      <c r="S245">
        <v>1</v>
      </c>
      <c r="T245">
        <v>4</v>
      </c>
      <c r="U245">
        <f>IF(SUMIFS(StandardName[RankValueInTheRanking],StandardName[StandardizedName],THE_ARWU[[#This Row],[Nazwa uczelni]],StandardName[Ranking],$U$1)=0,$N$3,SUMIFS(StandardName[RankValueInTheRanking],StandardName[StandardizedName],THE_ARWU[[#This Row],[Nazwa uczelni]],StandardName[Ranking],$U$1))</f>
        <v>39</v>
      </c>
      <c r="V245">
        <f>IF(SUMIFS(StandardName[RankValueInTheRanking],StandardName[StandardizedName],THE_ARWU[[#This Row],[Nazwa uczelni]],StandardName[Ranking],$V$1)=0,$N$3,SUMIFS(StandardName[RankValueInTheRanking],StandardName[StandardizedName],THE_ARWU[[#This Row],[Nazwa uczelni]],StandardName[Ranking],$V$1))</f>
        <v>24</v>
      </c>
      <c r="W245">
        <f>IF(SUMIFS(StandardName[RankValueInTheRanking],StandardName[StandardizedName],THE_ARWU[[#This Row],[Nazwa uczelni]],StandardName[Ranking],$W$1)=0,$N$3,SUMIFS(StandardName[RankValueInTheRanking],StandardName[StandardizedName],THE_ARWU[[#This Row],[Nazwa uczelni]],StandardName[Ranking],$W$1))</f>
        <v>23</v>
      </c>
      <c r="X245">
        <f>IF(SUMIFS(StandardName[RankValueInTheRanking],StandardName[StandardizedName],THE_ARWU[[#This Row],[Nazwa uczelni]],StandardName[Ranking],$X$1)=0,$N$3,SUMIFS(StandardName[RankValueInTheRanking],StandardName[StandardizedName],THE_ARWU[[#This Row],[Nazwa uczelni]],StandardName[Ranking],$X$1))</f>
        <v>66</v>
      </c>
      <c r="Y245" s="10">
        <f>SUM(THE_ARWU[[#This Row],[THE_RV1000]:[Webometrics_RV1000]])</f>
        <v>152</v>
      </c>
      <c r="Z245" s="2">
        <v>39</v>
      </c>
      <c r="AA245" s="2">
        <v>24</v>
      </c>
      <c r="AB245" s="2">
        <v>23</v>
      </c>
      <c r="AC245" s="2">
        <v>66</v>
      </c>
    </row>
    <row r="246" spans="9:29" outlineLevel="1" x14ac:dyDescent="0.45">
      <c r="I246" t="s">
        <v>245</v>
      </c>
      <c r="J246">
        <v>44</v>
      </c>
      <c r="K246" t="s">
        <v>245</v>
      </c>
      <c r="L246">
        <v>44</v>
      </c>
      <c r="M246" t="s">
        <v>846</v>
      </c>
      <c r="O246" t="s">
        <v>225</v>
      </c>
      <c r="P246">
        <v>1</v>
      </c>
      <c r="Q246">
        <v>1</v>
      </c>
      <c r="R246">
        <v>1</v>
      </c>
      <c r="S246">
        <v>1</v>
      </c>
      <c r="T246">
        <v>4</v>
      </c>
      <c r="U246">
        <f>IF(SUMIFS(StandardName[RankValueInTheRanking],StandardName[StandardizedName],THE_ARWU[[#This Row],[Nazwa uczelni]],StandardName[Ranking],$U$1)=0,$N$3,SUMIFS(StandardName[RankValueInTheRanking],StandardName[StandardizedName],THE_ARWU[[#This Row],[Nazwa uczelni]],StandardName[Ranking],$U$1))</f>
        <v>40</v>
      </c>
      <c r="V246">
        <f>IF(SUMIFS(StandardName[RankValueInTheRanking],StandardName[StandardizedName],THE_ARWU[[#This Row],[Nazwa uczelni]],StandardName[Ranking],$V$1)=0,$N$3,SUMIFS(StandardName[RankValueInTheRanking],StandardName[StandardizedName],THE_ARWU[[#This Row],[Nazwa uczelni]],StandardName[Ranking],$V$1))</f>
        <v>44</v>
      </c>
      <c r="W246">
        <f>IF(SUMIFS(StandardName[RankValueInTheRanking],StandardName[StandardizedName],THE_ARWU[[#This Row],[Nazwa uczelni]],StandardName[Ranking],$W$1)=0,$N$3,SUMIFS(StandardName[RankValueInTheRanking],StandardName[StandardizedName],THE_ARWU[[#This Row],[Nazwa uczelni]],StandardName[Ranking],$W$1))</f>
        <v>47</v>
      </c>
      <c r="X246">
        <f>IF(SUMIFS(StandardName[RankValueInTheRanking],StandardName[StandardizedName],THE_ARWU[[#This Row],[Nazwa uczelni]],StandardName[Ranking],$X$1)=0,$N$3,SUMIFS(StandardName[RankValueInTheRanking],StandardName[StandardizedName],THE_ARWU[[#This Row],[Nazwa uczelni]],StandardName[Ranking],$X$1))</f>
        <v>27</v>
      </c>
      <c r="Y246" s="10">
        <f>SUM(THE_ARWU[[#This Row],[THE_RV1000]:[Webometrics_RV1000]])</f>
        <v>158</v>
      </c>
      <c r="Z246" s="2">
        <v>40</v>
      </c>
      <c r="AA246" s="2">
        <v>44</v>
      </c>
      <c r="AB246" s="2">
        <v>47</v>
      </c>
      <c r="AC246" s="2">
        <v>27</v>
      </c>
    </row>
    <row r="247" spans="9:29" outlineLevel="1" x14ac:dyDescent="0.45">
      <c r="I247" t="s">
        <v>250</v>
      </c>
      <c r="J247">
        <v>45</v>
      </c>
      <c r="K247" t="s">
        <v>250</v>
      </c>
      <c r="L247">
        <v>45</v>
      </c>
      <c r="M247" t="s">
        <v>846</v>
      </c>
      <c r="O247" t="s">
        <v>296</v>
      </c>
      <c r="P247">
        <v>1</v>
      </c>
      <c r="Q247">
        <v>1</v>
      </c>
      <c r="R247">
        <v>1</v>
      </c>
      <c r="S247">
        <v>1</v>
      </c>
      <c r="T247">
        <v>4</v>
      </c>
      <c r="U247">
        <f>IF(SUMIFS(StandardName[RankValueInTheRanking],StandardName[StandardizedName],THE_ARWU[[#This Row],[Nazwa uczelni]],StandardName[Ranking],$U$1)=0,$N$3,SUMIFS(StandardName[RankValueInTheRanking],StandardName[StandardizedName],THE_ARWU[[#This Row],[Nazwa uczelni]],StandardName[Ranking],$U$1))</f>
        <v>54</v>
      </c>
      <c r="V247">
        <f>IF(SUMIFS(StandardName[RankValueInTheRanking],StandardName[StandardizedName],THE_ARWU[[#This Row],[Nazwa uczelni]],StandardName[Ranking],$V$1)=0,$N$3,SUMIFS(StandardName[RankValueInTheRanking],StandardName[StandardizedName],THE_ARWU[[#This Row],[Nazwa uczelni]],StandardName[Ranking],$V$1))</f>
        <v>38</v>
      </c>
      <c r="W247">
        <f>IF(SUMIFS(StandardName[RankValueInTheRanking],StandardName[StandardizedName],THE_ARWU[[#This Row],[Nazwa uczelni]],StandardName[Ranking],$W$1)=0,$N$3,SUMIFS(StandardName[RankValueInTheRanking],StandardName[StandardizedName],THE_ARWU[[#This Row],[Nazwa uczelni]],StandardName[Ranking],$W$1))</f>
        <v>28</v>
      </c>
      <c r="X247">
        <f>IF(SUMIFS(StandardName[RankValueInTheRanking],StandardName[StandardizedName],THE_ARWU[[#This Row],[Nazwa uczelni]],StandardName[Ranking],$X$1)=0,$N$3,SUMIFS(StandardName[RankValueInTheRanking],StandardName[StandardizedName],THE_ARWU[[#This Row],[Nazwa uczelni]],StandardName[Ranking],$X$1))</f>
        <v>61</v>
      </c>
      <c r="Y247" s="10">
        <f>SUM(THE_ARWU[[#This Row],[THE_RV1000]:[Webometrics_RV1000]])</f>
        <v>181</v>
      </c>
      <c r="Z247" s="2">
        <v>54</v>
      </c>
      <c r="AA247" s="2">
        <v>38</v>
      </c>
      <c r="AB247" s="2">
        <v>28</v>
      </c>
      <c r="AC247" s="2">
        <v>61</v>
      </c>
    </row>
    <row r="248" spans="9:29" outlineLevel="1" x14ac:dyDescent="0.45">
      <c r="I248" t="s">
        <v>253</v>
      </c>
      <c r="J248">
        <v>46</v>
      </c>
      <c r="K248" t="s">
        <v>253</v>
      </c>
      <c r="L248">
        <v>46</v>
      </c>
      <c r="M248" t="s">
        <v>846</v>
      </c>
      <c r="O248" t="s">
        <v>276</v>
      </c>
      <c r="P248">
        <v>1</v>
      </c>
      <c r="Q248">
        <v>1</v>
      </c>
      <c r="R248">
        <v>1</v>
      </c>
      <c r="S248">
        <v>1</v>
      </c>
      <c r="T248">
        <v>4</v>
      </c>
      <c r="U248">
        <f>IF(SUMIFS(StandardName[RankValueInTheRanking],StandardName[StandardizedName],THE_ARWU[[#This Row],[Nazwa uczelni]],StandardName[Ranking],$U$1)=0,$N$3,SUMIFS(StandardName[RankValueInTheRanking],StandardName[StandardizedName],THE_ARWU[[#This Row],[Nazwa uczelni]],StandardName[Ranking],$U$1))</f>
        <v>50</v>
      </c>
      <c r="V248">
        <f>IF(SUMIFS(StandardName[RankValueInTheRanking],StandardName[StandardizedName],THE_ARWU[[#This Row],[Nazwa uczelni]],StandardName[Ranking],$V$1)=0,$N$3,SUMIFS(StandardName[RankValueInTheRanking],StandardName[StandardizedName],THE_ARWU[[#This Row],[Nazwa uczelni]],StandardName[Ranking],$V$1))</f>
        <v>37</v>
      </c>
      <c r="W248">
        <f>IF(SUMIFS(StandardName[RankValueInTheRanking],StandardName[StandardizedName],THE_ARWU[[#This Row],[Nazwa uczelni]],StandardName[Ranking],$W$1)=0,$N$3,SUMIFS(StandardName[RankValueInTheRanking],StandardName[StandardizedName],THE_ARWU[[#This Row],[Nazwa uczelni]],StandardName[Ranking],$W$1))</f>
        <v>72</v>
      </c>
      <c r="X248">
        <f>IF(SUMIFS(StandardName[RankValueInTheRanking],StandardName[StandardizedName],THE_ARWU[[#This Row],[Nazwa uczelni]],StandardName[Ranking],$X$1)=0,$N$3,SUMIFS(StandardName[RankValueInTheRanking],StandardName[StandardizedName],THE_ARWU[[#This Row],[Nazwa uczelni]],StandardName[Ranking],$X$1))</f>
        <v>25</v>
      </c>
      <c r="Y248" s="10">
        <f>SUM(THE_ARWU[[#This Row],[THE_RV1000]:[Webometrics_RV1000]])</f>
        <v>184</v>
      </c>
      <c r="Z248" s="2">
        <v>50</v>
      </c>
      <c r="AA248" s="2">
        <v>37</v>
      </c>
      <c r="AB248" s="2">
        <v>72</v>
      </c>
      <c r="AC248" s="2">
        <v>25</v>
      </c>
    </row>
    <row r="249" spans="9:29" outlineLevel="1" x14ac:dyDescent="0.45">
      <c r="I249" t="s">
        <v>259</v>
      </c>
      <c r="J249">
        <v>47</v>
      </c>
      <c r="K249" t="s">
        <v>663</v>
      </c>
      <c r="L249">
        <v>47</v>
      </c>
      <c r="M249" t="s">
        <v>846</v>
      </c>
      <c r="O249" t="s">
        <v>199</v>
      </c>
      <c r="P249">
        <v>1</v>
      </c>
      <c r="Q249">
        <v>1</v>
      </c>
      <c r="R249">
        <v>1</v>
      </c>
      <c r="S249">
        <v>1</v>
      </c>
      <c r="T249">
        <v>4</v>
      </c>
      <c r="U249">
        <f>IF(SUMIFS(StandardName[RankValueInTheRanking],StandardName[StandardizedName],THE_ARWU[[#This Row],[Nazwa uczelni]],StandardName[Ranking],$U$1)=0,$N$3,SUMIFS(StandardName[RankValueInTheRanking],StandardName[StandardizedName],THE_ARWU[[#This Row],[Nazwa uczelni]],StandardName[Ranking],$U$1))</f>
        <v>35</v>
      </c>
      <c r="V249">
        <f>IF(SUMIFS(StandardName[RankValueInTheRanking],StandardName[StandardizedName],THE_ARWU[[#This Row],[Nazwa uczelni]],StandardName[Ranking],$V$1)=0,$N$3,SUMIFS(StandardName[RankValueInTheRanking],StandardName[StandardizedName],THE_ARWU[[#This Row],[Nazwa uczelni]],StandardName[Ranking],$V$1))</f>
        <v>48</v>
      </c>
      <c r="W249">
        <f>IF(SUMIFS(StandardName[RankValueInTheRanking],StandardName[StandardizedName],THE_ARWU[[#This Row],[Nazwa uczelni]],StandardName[Ranking],$W$1)=0,$N$3,SUMIFS(StandardName[RankValueInTheRanking],StandardName[StandardizedName],THE_ARWU[[#This Row],[Nazwa uczelni]],StandardName[Ranking],$W$1))</f>
        <v>37</v>
      </c>
      <c r="X249">
        <f>IF(SUMIFS(StandardName[RankValueInTheRanking],StandardName[StandardizedName],THE_ARWU[[#This Row],[Nazwa uczelni]],StandardName[Ranking],$X$1)=0,$N$3,SUMIFS(StandardName[RankValueInTheRanking],StandardName[StandardizedName],THE_ARWU[[#This Row],[Nazwa uczelni]],StandardName[Ranking],$X$1))</f>
        <v>67</v>
      </c>
      <c r="Y249" s="10">
        <f>SUM(THE_ARWU[[#This Row],[THE_RV1000]:[Webometrics_RV1000]])</f>
        <v>187</v>
      </c>
      <c r="Z249" s="2">
        <v>35</v>
      </c>
      <c r="AA249" s="2">
        <v>48</v>
      </c>
      <c r="AB249" s="2">
        <v>37</v>
      </c>
      <c r="AC249" s="2">
        <v>67</v>
      </c>
    </row>
    <row r="250" spans="9:29" outlineLevel="1" x14ac:dyDescent="0.45">
      <c r="I250" t="s">
        <v>266</v>
      </c>
      <c r="J250">
        <v>48</v>
      </c>
      <c r="K250" t="s">
        <v>266</v>
      </c>
      <c r="L250">
        <v>48</v>
      </c>
      <c r="M250" t="s">
        <v>846</v>
      </c>
      <c r="O250" t="s">
        <v>816</v>
      </c>
      <c r="P250">
        <v>1</v>
      </c>
      <c r="Q250">
        <v>1</v>
      </c>
      <c r="R250">
        <v>1</v>
      </c>
      <c r="S250">
        <v>1</v>
      </c>
      <c r="T250">
        <v>4</v>
      </c>
      <c r="U250">
        <f>IF(SUMIFS(StandardName[RankValueInTheRanking],StandardName[StandardizedName],THE_ARWU[[#This Row],[Nazwa uczelni]],StandardName[Ranking],$U$1)=0,$N$3,SUMIFS(StandardName[RankValueInTheRanking],StandardName[StandardizedName],THE_ARWU[[#This Row],[Nazwa uczelni]],StandardName[Ranking],$U$1))</f>
        <v>53</v>
      </c>
      <c r="V250">
        <f>IF(SUMIFS(StandardName[RankValueInTheRanking],StandardName[StandardizedName],THE_ARWU[[#This Row],[Nazwa uczelni]],StandardName[Ranking],$V$1)=0,$N$3,SUMIFS(StandardName[RankValueInTheRanking],StandardName[StandardizedName],THE_ARWU[[#This Row],[Nazwa uczelni]],StandardName[Ranking],$V$1))</f>
        <v>47</v>
      </c>
      <c r="W250">
        <f>IF(SUMIFS(StandardName[RankValueInTheRanking],StandardName[StandardizedName],THE_ARWU[[#This Row],[Nazwa uczelni]],StandardName[Ranking],$W$1)=0,$N$3,SUMIFS(StandardName[RankValueInTheRanking],StandardName[StandardizedName],THE_ARWU[[#This Row],[Nazwa uczelni]],StandardName[Ranking],$W$1))</f>
        <v>50</v>
      </c>
      <c r="X250">
        <f>IF(SUMIFS(StandardName[RankValueInTheRanking],StandardName[StandardizedName],THE_ARWU[[#This Row],[Nazwa uczelni]],StandardName[Ranking],$X$1)=0,$N$3,SUMIFS(StandardName[RankValueInTheRanking],StandardName[StandardizedName],THE_ARWU[[#This Row],[Nazwa uczelni]],StandardName[Ranking],$X$1))</f>
        <v>52</v>
      </c>
      <c r="Y250" s="10">
        <f>SUM(THE_ARWU[[#This Row],[THE_RV1000]:[Webometrics_RV1000]])</f>
        <v>202</v>
      </c>
      <c r="Z250" s="2">
        <v>53</v>
      </c>
      <c r="AA250" s="2">
        <v>47</v>
      </c>
      <c r="AB250" s="2">
        <v>50</v>
      </c>
      <c r="AC250" s="2">
        <v>52</v>
      </c>
    </row>
    <row r="251" spans="9:29" outlineLevel="1" x14ac:dyDescent="0.45">
      <c r="I251" t="s">
        <v>270</v>
      </c>
      <c r="J251">
        <v>49</v>
      </c>
      <c r="K251" t="s">
        <v>270</v>
      </c>
      <c r="L251">
        <v>49</v>
      </c>
      <c r="M251" t="s">
        <v>846</v>
      </c>
      <c r="O251" t="s">
        <v>572</v>
      </c>
      <c r="P251">
        <v>1</v>
      </c>
      <c r="Q251">
        <v>1</v>
      </c>
      <c r="R251">
        <v>1</v>
      </c>
      <c r="S251">
        <v>1</v>
      </c>
      <c r="T251">
        <v>4</v>
      </c>
      <c r="U251">
        <f>IF(SUMIFS(StandardName[RankValueInTheRanking],StandardName[StandardizedName],THE_ARWU[[#This Row],[Nazwa uczelni]],StandardName[Ranking],$U$1)=0,$N$3,SUMIFS(StandardName[RankValueInTheRanking],StandardName[StandardizedName],THE_ARWU[[#This Row],[Nazwa uczelni]],StandardName[Ranking],$U$1))</f>
        <v>54</v>
      </c>
      <c r="V251">
        <f>IF(SUMIFS(StandardName[RankValueInTheRanking],StandardName[StandardizedName],THE_ARWU[[#This Row],[Nazwa uczelni]],StandardName[Ranking],$V$1)=0,$N$3,SUMIFS(StandardName[RankValueInTheRanking],StandardName[StandardizedName],THE_ARWU[[#This Row],[Nazwa uczelni]],StandardName[Ranking],$V$1))</f>
        <v>60</v>
      </c>
      <c r="W251">
        <f>IF(SUMIFS(StandardName[RankValueInTheRanking],StandardName[StandardizedName],THE_ARWU[[#This Row],[Nazwa uczelni]],StandardName[Ranking],$W$1)=0,$N$3,SUMIFS(StandardName[RankValueInTheRanking],StandardName[StandardizedName],THE_ARWU[[#This Row],[Nazwa uczelni]],StandardName[Ranking],$W$1))</f>
        <v>41</v>
      </c>
      <c r="X251">
        <f>IF(SUMIFS(StandardName[RankValueInTheRanking],StandardName[StandardizedName],THE_ARWU[[#This Row],[Nazwa uczelni]],StandardName[Ranking],$X$1)=0,$N$3,SUMIFS(StandardName[RankValueInTheRanking],StandardName[StandardizedName],THE_ARWU[[#This Row],[Nazwa uczelni]],StandardName[Ranking],$X$1))</f>
        <v>50</v>
      </c>
      <c r="Y251" s="10">
        <f>SUM(THE_ARWU[[#This Row],[THE_RV1000]:[Webometrics_RV1000]])</f>
        <v>205</v>
      </c>
      <c r="Z251" s="2">
        <v>54</v>
      </c>
      <c r="AA251" s="2">
        <v>60</v>
      </c>
      <c r="AB251" s="2">
        <v>41</v>
      </c>
      <c r="AC251" s="2">
        <v>50</v>
      </c>
    </row>
    <row r="252" spans="9:29" outlineLevel="1" x14ac:dyDescent="0.45">
      <c r="I252" t="s">
        <v>276</v>
      </c>
      <c r="J252">
        <v>50</v>
      </c>
      <c r="K252" t="s">
        <v>276</v>
      </c>
      <c r="L252">
        <v>50</v>
      </c>
      <c r="M252" t="s">
        <v>846</v>
      </c>
      <c r="O252" t="s">
        <v>253</v>
      </c>
      <c r="P252">
        <v>1</v>
      </c>
      <c r="Q252">
        <v>1</v>
      </c>
      <c r="R252">
        <v>1</v>
      </c>
      <c r="S252">
        <v>1</v>
      </c>
      <c r="T252">
        <v>4</v>
      </c>
      <c r="U252">
        <f>IF(SUMIFS(StandardName[RankValueInTheRanking],StandardName[StandardizedName],THE_ARWU[[#This Row],[Nazwa uczelni]],StandardName[Ranking],$U$1)=0,$N$3,SUMIFS(StandardName[RankValueInTheRanking],StandardName[StandardizedName],THE_ARWU[[#This Row],[Nazwa uczelni]],StandardName[Ranking],$U$1))</f>
        <v>46</v>
      </c>
      <c r="V252">
        <f>IF(SUMIFS(StandardName[RankValueInTheRanking],StandardName[StandardizedName],THE_ARWU[[#This Row],[Nazwa uczelni]],StandardName[Ranking],$V$1)=0,$N$3,SUMIFS(StandardName[RankValueInTheRanking],StandardName[StandardizedName],THE_ARWU[[#This Row],[Nazwa uczelni]],StandardName[Ranking],$V$1))</f>
        <v>73</v>
      </c>
      <c r="W252">
        <f>IF(SUMIFS(StandardName[RankValueInTheRanking],StandardName[StandardizedName],THE_ARWU[[#This Row],[Nazwa uczelni]],StandardName[Ranking],$W$1)=0,$N$3,SUMIFS(StandardName[RankValueInTheRanking],StandardName[StandardizedName],THE_ARWU[[#This Row],[Nazwa uczelni]],StandardName[Ranking],$W$1))</f>
        <v>31</v>
      </c>
      <c r="X252">
        <f>IF(SUMIFS(StandardName[RankValueInTheRanking],StandardName[StandardizedName],THE_ARWU[[#This Row],[Nazwa uczelni]],StandardName[Ranking],$X$1)=0,$N$3,SUMIFS(StandardName[RankValueInTheRanking],StandardName[StandardizedName],THE_ARWU[[#This Row],[Nazwa uczelni]],StandardName[Ranking],$X$1))</f>
        <v>60</v>
      </c>
      <c r="Y252" s="10">
        <f>SUM(THE_ARWU[[#This Row],[THE_RV1000]:[Webometrics_RV1000]])</f>
        <v>210</v>
      </c>
      <c r="Z252" s="2">
        <v>46</v>
      </c>
      <c r="AA252" s="2">
        <v>73</v>
      </c>
      <c r="AB252" s="2">
        <v>31</v>
      </c>
      <c r="AC252" s="2">
        <v>60</v>
      </c>
    </row>
    <row r="253" spans="9:29" outlineLevel="1" x14ac:dyDescent="0.45">
      <c r="I253" t="s">
        <v>282</v>
      </c>
      <c r="J253">
        <v>51</v>
      </c>
      <c r="K253" t="s">
        <v>282</v>
      </c>
      <c r="L253">
        <v>51</v>
      </c>
      <c r="M253" t="s">
        <v>846</v>
      </c>
      <c r="O253" t="s">
        <v>355</v>
      </c>
      <c r="P253">
        <v>1</v>
      </c>
      <c r="Q253">
        <v>1</v>
      </c>
      <c r="R253">
        <v>1</v>
      </c>
      <c r="S253">
        <v>1</v>
      </c>
      <c r="T253">
        <v>4</v>
      </c>
      <c r="U253">
        <f>IF(SUMIFS(StandardName[RankValueInTheRanking],StandardName[StandardizedName],THE_ARWU[[#This Row],[Nazwa uczelni]],StandardName[Ranking],$U$1)=0,$N$3,SUMIFS(StandardName[RankValueInTheRanking],StandardName[StandardizedName],THE_ARWU[[#This Row],[Nazwa uczelni]],StandardName[Ranking],$U$1))</f>
        <v>67</v>
      </c>
      <c r="V253">
        <f>IF(SUMIFS(StandardName[RankValueInTheRanking],StandardName[StandardizedName],THE_ARWU[[#This Row],[Nazwa uczelni]],StandardName[Ranking],$V$1)=0,$N$3,SUMIFS(StandardName[RankValueInTheRanking],StandardName[StandardizedName],THE_ARWU[[#This Row],[Nazwa uczelni]],StandardName[Ranking],$V$1))</f>
        <v>36</v>
      </c>
      <c r="W253">
        <f>IF(SUMIFS(StandardName[RankValueInTheRanking],StandardName[StandardizedName],THE_ARWU[[#This Row],[Nazwa uczelni]],StandardName[Ranking],$W$1)=0,$N$3,SUMIFS(StandardName[RankValueInTheRanking],StandardName[StandardizedName],THE_ARWU[[#This Row],[Nazwa uczelni]],StandardName[Ranking],$W$1))</f>
        <v>42</v>
      </c>
      <c r="X253">
        <f>IF(SUMIFS(StandardName[RankValueInTheRanking],StandardName[StandardizedName],THE_ARWU[[#This Row],[Nazwa uczelni]],StandardName[Ranking],$X$1)=0,$N$3,SUMIFS(StandardName[RankValueInTheRanking],StandardName[StandardizedName],THE_ARWU[[#This Row],[Nazwa uczelni]],StandardName[Ranking],$X$1))</f>
        <v>68</v>
      </c>
      <c r="Y253" s="10">
        <f>SUM(THE_ARWU[[#This Row],[THE_RV1000]:[Webometrics_RV1000]])</f>
        <v>213</v>
      </c>
      <c r="Z253" s="2">
        <v>67</v>
      </c>
      <c r="AA253" s="2">
        <v>36</v>
      </c>
      <c r="AB253" s="2">
        <v>42</v>
      </c>
      <c r="AC253" s="2">
        <v>68</v>
      </c>
    </row>
    <row r="254" spans="9:29" outlineLevel="1" x14ac:dyDescent="0.45">
      <c r="I254" t="s">
        <v>286</v>
      </c>
      <c r="J254">
        <v>52</v>
      </c>
      <c r="K254" t="s">
        <v>286</v>
      </c>
      <c r="L254">
        <v>52</v>
      </c>
      <c r="M254" t="s">
        <v>846</v>
      </c>
      <c r="O254" t="s">
        <v>266</v>
      </c>
      <c r="P254">
        <v>1</v>
      </c>
      <c r="Q254">
        <v>1</v>
      </c>
      <c r="R254">
        <v>1</v>
      </c>
      <c r="S254">
        <v>1</v>
      </c>
      <c r="T254">
        <v>4</v>
      </c>
      <c r="U254">
        <f>IF(SUMIFS(StandardName[RankValueInTheRanking],StandardName[StandardizedName],THE_ARWU[[#This Row],[Nazwa uczelni]],StandardName[Ranking],$U$1)=0,$N$3,SUMIFS(StandardName[RankValueInTheRanking],StandardName[StandardizedName],THE_ARWU[[#This Row],[Nazwa uczelni]],StandardName[Ranking],$U$1))</f>
        <v>48</v>
      </c>
      <c r="V254">
        <f>IF(SUMIFS(StandardName[RankValueInTheRanking],StandardName[StandardizedName],THE_ARWU[[#This Row],[Nazwa uczelni]],StandardName[Ranking],$V$1)=0,$N$3,SUMIFS(StandardName[RankValueInTheRanking],StandardName[StandardizedName],THE_ARWU[[#This Row],[Nazwa uczelni]],StandardName[Ranking],$V$1))</f>
        <v>49</v>
      </c>
      <c r="W254">
        <f>IF(SUMIFS(StandardName[RankValueInTheRanking],StandardName[StandardizedName],THE_ARWU[[#This Row],[Nazwa uczelni]],StandardName[Ranking],$W$1)=0,$N$3,SUMIFS(StandardName[RankValueInTheRanking],StandardName[StandardizedName],THE_ARWU[[#This Row],[Nazwa uczelni]],StandardName[Ranking],$W$1))</f>
        <v>85</v>
      </c>
      <c r="X254">
        <f>IF(SUMIFS(StandardName[RankValueInTheRanking],StandardName[StandardizedName],THE_ARWU[[#This Row],[Nazwa uczelni]],StandardName[Ranking],$X$1)=0,$N$3,SUMIFS(StandardName[RankValueInTheRanking],StandardName[StandardizedName],THE_ARWU[[#This Row],[Nazwa uczelni]],StandardName[Ranking],$X$1))</f>
        <v>33</v>
      </c>
      <c r="Y254" s="10">
        <f>SUM(THE_ARWU[[#This Row],[THE_RV1000]:[Webometrics_RV1000]])</f>
        <v>215</v>
      </c>
      <c r="Z254" s="2">
        <v>48</v>
      </c>
      <c r="AA254" s="2">
        <v>49</v>
      </c>
      <c r="AB254" s="2">
        <v>85</v>
      </c>
      <c r="AC254" s="2">
        <v>33</v>
      </c>
    </row>
    <row r="255" spans="9:29" outlineLevel="1" x14ac:dyDescent="0.45">
      <c r="I255" t="s">
        <v>289</v>
      </c>
      <c r="J255">
        <v>53</v>
      </c>
      <c r="K255" t="s">
        <v>816</v>
      </c>
      <c r="L255">
        <v>53</v>
      </c>
      <c r="M255" t="s">
        <v>846</v>
      </c>
      <c r="O255" t="s">
        <v>412</v>
      </c>
      <c r="P255">
        <v>1</v>
      </c>
      <c r="Q255">
        <v>1</v>
      </c>
      <c r="R255">
        <v>1</v>
      </c>
      <c r="S255">
        <v>1</v>
      </c>
      <c r="T255">
        <v>4</v>
      </c>
      <c r="U255">
        <f>IF(SUMIFS(StandardName[RankValueInTheRanking],StandardName[StandardizedName],THE_ARWU[[#This Row],[Nazwa uczelni]],StandardName[Ranking],$U$1)=0,$N$3,SUMIFS(StandardName[RankValueInTheRanking],StandardName[StandardizedName],THE_ARWU[[#This Row],[Nazwa uczelni]],StandardName[Ranking],$U$1))</f>
        <v>81</v>
      </c>
      <c r="V255">
        <f>IF(SUMIFS(StandardName[RankValueInTheRanking],StandardName[StandardizedName],THE_ARWU[[#This Row],[Nazwa uczelni]],StandardName[Ranking],$V$1)=0,$N$3,SUMIFS(StandardName[RankValueInTheRanking],StandardName[StandardizedName],THE_ARWU[[#This Row],[Nazwa uczelni]],StandardName[Ranking],$V$1))</f>
        <v>33</v>
      </c>
      <c r="W255">
        <f>IF(SUMIFS(StandardName[RankValueInTheRanking],StandardName[StandardizedName],THE_ARWU[[#This Row],[Nazwa uczelni]],StandardName[Ranking],$W$1)=0,$N$3,SUMIFS(StandardName[RankValueInTheRanking],StandardName[StandardizedName],THE_ARWU[[#This Row],[Nazwa uczelni]],StandardName[Ranking],$W$1))</f>
        <v>83</v>
      </c>
      <c r="X255">
        <f>IF(SUMIFS(StandardName[RankValueInTheRanking],StandardName[StandardizedName],THE_ARWU[[#This Row],[Nazwa uczelni]],StandardName[Ranking],$X$1)=0,$N$3,SUMIFS(StandardName[RankValueInTheRanking],StandardName[StandardizedName],THE_ARWU[[#This Row],[Nazwa uczelni]],StandardName[Ranking],$X$1))</f>
        <v>20</v>
      </c>
      <c r="Y255" s="10">
        <f>SUM(THE_ARWU[[#This Row],[THE_RV1000]:[Webometrics_RV1000]])</f>
        <v>217</v>
      </c>
      <c r="Z255" s="2">
        <v>81</v>
      </c>
      <c r="AA255" s="2">
        <v>33</v>
      </c>
      <c r="AB255" s="2">
        <v>83</v>
      </c>
      <c r="AC255" s="2">
        <v>20</v>
      </c>
    </row>
    <row r="256" spans="9:29" outlineLevel="1" x14ac:dyDescent="0.45">
      <c r="I256" t="s">
        <v>296</v>
      </c>
      <c r="J256">
        <v>54</v>
      </c>
      <c r="K256" t="s">
        <v>296</v>
      </c>
      <c r="L256">
        <v>54</v>
      </c>
      <c r="M256" t="s">
        <v>846</v>
      </c>
      <c r="O256" t="s">
        <v>286</v>
      </c>
      <c r="P256">
        <v>1</v>
      </c>
      <c r="Q256">
        <v>1</v>
      </c>
      <c r="R256">
        <v>1</v>
      </c>
      <c r="S256">
        <v>1</v>
      </c>
      <c r="T256">
        <v>4</v>
      </c>
      <c r="U256">
        <f>IF(SUMIFS(StandardName[RankValueInTheRanking],StandardName[StandardizedName],THE_ARWU[[#This Row],[Nazwa uczelni]],StandardName[Ranking],$U$1)=0,$N$3,SUMIFS(StandardName[RankValueInTheRanking],StandardName[StandardizedName],THE_ARWU[[#This Row],[Nazwa uczelni]],StandardName[Ranking],$U$1))</f>
        <v>52</v>
      </c>
      <c r="V256">
        <f>IF(SUMIFS(StandardName[RankValueInTheRanking],StandardName[StandardizedName],THE_ARWU[[#This Row],[Nazwa uczelni]],StandardName[Ranking],$V$1)=0,$N$3,SUMIFS(StandardName[RankValueInTheRanking],StandardName[StandardizedName],THE_ARWU[[#This Row],[Nazwa uczelni]],StandardName[Ranking],$V$1))</f>
        <v>54</v>
      </c>
      <c r="W256">
        <f>IF(SUMIFS(StandardName[RankValueInTheRanking],StandardName[StandardizedName],THE_ARWU[[#This Row],[Nazwa uczelni]],StandardName[Ranking],$W$1)=0,$N$3,SUMIFS(StandardName[RankValueInTheRanking],StandardName[StandardizedName],THE_ARWU[[#This Row],[Nazwa uczelni]],StandardName[Ranking],$W$1))</f>
        <v>46</v>
      </c>
      <c r="X256">
        <f>IF(SUMIFS(StandardName[RankValueInTheRanking],StandardName[StandardizedName],THE_ARWU[[#This Row],[Nazwa uczelni]],StandardName[Ranking],$X$1)=0,$N$3,SUMIFS(StandardName[RankValueInTheRanking],StandardName[StandardizedName],THE_ARWU[[#This Row],[Nazwa uczelni]],StandardName[Ranking],$X$1))</f>
        <v>69</v>
      </c>
      <c r="Y256" s="10">
        <f>SUM(THE_ARWU[[#This Row],[THE_RV1000]:[Webometrics_RV1000]])</f>
        <v>221</v>
      </c>
      <c r="Z256" s="2">
        <v>52</v>
      </c>
      <c r="AA256" s="2">
        <v>54</v>
      </c>
      <c r="AB256" s="2">
        <v>46</v>
      </c>
      <c r="AC256" s="2">
        <v>69</v>
      </c>
    </row>
    <row r="257" spans="9:29" outlineLevel="1" x14ac:dyDescent="0.45">
      <c r="I257" t="s">
        <v>301</v>
      </c>
      <c r="J257">
        <v>55</v>
      </c>
      <c r="K257" t="s">
        <v>572</v>
      </c>
      <c r="L257">
        <v>54</v>
      </c>
      <c r="M257" t="s">
        <v>846</v>
      </c>
      <c r="O257" t="s">
        <v>810</v>
      </c>
      <c r="P257">
        <v>1</v>
      </c>
      <c r="Q257">
        <v>1</v>
      </c>
      <c r="R257">
        <v>1</v>
      </c>
      <c r="S257">
        <v>1</v>
      </c>
      <c r="T257">
        <v>4</v>
      </c>
      <c r="U257">
        <f>IF(SUMIFS(StandardName[RankValueInTheRanking],StandardName[StandardizedName],THE_ARWU[[#This Row],[Nazwa uczelni]],StandardName[Ranking],$U$1)=0,$N$3,SUMIFS(StandardName[RankValueInTheRanking],StandardName[StandardizedName],THE_ARWU[[#This Row],[Nazwa uczelni]],StandardName[Ranking],$U$1))</f>
        <v>71</v>
      </c>
      <c r="V257">
        <f>IF(SUMIFS(StandardName[RankValueInTheRanking],StandardName[StandardizedName],THE_ARWU[[#This Row],[Nazwa uczelni]],StandardName[Ranking],$V$1)=0,$N$3,SUMIFS(StandardName[RankValueInTheRanking],StandardName[StandardizedName],THE_ARWU[[#This Row],[Nazwa uczelni]],StandardName[Ranking],$V$1))</f>
        <v>64</v>
      </c>
      <c r="W257">
        <f>IF(SUMIFS(StandardName[RankValueInTheRanking],StandardName[StandardizedName],THE_ARWU[[#This Row],[Nazwa uczelni]],StandardName[Ranking],$W$1)=0,$N$3,SUMIFS(StandardName[RankValueInTheRanking],StandardName[StandardizedName],THE_ARWU[[#This Row],[Nazwa uczelni]],StandardName[Ranking],$W$1))</f>
        <v>45</v>
      </c>
      <c r="X257">
        <f>IF(SUMIFS(StandardName[RankValueInTheRanking],StandardName[StandardizedName],THE_ARWU[[#This Row],[Nazwa uczelni]],StandardName[Ranking],$X$1)=0,$N$3,SUMIFS(StandardName[RankValueInTheRanking],StandardName[StandardizedName],THE_ARWU[[#This Row],[Nazwa uczelni]],StandardName[Ranking],$X$1))</f>
        <v>41</v>
      </c>
      <c r="Y257" s="10">
        <f>SUM(THE_ARWU[[#This Row],[THE_RV1000]:[Webometrics_RV1000]])</f>
        <v>221</v>
      </c>
      <c r="Z257" s="2">
        <v>71</v>
      </c>
      <c r="AA257" s="2">
        <v>64</v>
      </c>
      <c r="AB257" s="2">
        <v>45</v>
      </c>
      <c r="AC257" s="2">
        <v>41</v>
      </c>
    </row>
    <row r="258" spans="9:29" outlineLevel="1" x14ac:dyDescent="0.45">
      <c r="I258" t="s">
        <v>306</v>
      </c>
      <c r="J258">
        <v>56</v>
      </c>
      <c r="K258" t="s">
        <v>306</v>
      </c>
      <c r="L258">
        <v>56</v>
      </c>
      <c r="M258" t="s">
        <v>846</v>
      </c>
      <c r="O258" t="s">
        <v>179</v>
      </c>
      <c r="P258">
        <v>1</v>
      </c>
      <c r="Q258">
        <v>1</v>
      </c>
      <c r="R258">
        <v>1</v>
      </c>
      <c r="S258">
        <v>1</v>
      </c>
      <c r="T258">
        <v>4</v>
      </c>
      <c r="U258">
        <f>IF(SUMIFS(StandardName[RankValueInTheRanking],StandardName[StandardizedName],THE_ARWU[[#This Row],[Nazwa uczelni]],StandardName[Ranking],$U$1)=0,$N$3,SUMIFS(StandardName[RankValueInTheRanking],StandardName[StandardizedName],THE_ARWU[[#This Row],[Nazwa uczelni]],StandardName[Ranking],$U$1))</f>
        <v>31</v>
      </c>
      <c r="V258">
        <f>IF(SUMIFS(StandardName[RankValueInTheRanking],StandardName[StandardizedName],THE_ARWU[[#This Row],[Nazwa uczelni]],StandardName[Ranking],$V$1)=0,$N$3,SUMIFS(StandardName[RankValueInTheRanking],StandardName[StandardizedName],THE_ARWU[[#This Row],[Nazwa uczelni]],StandardName[Ranking],$V$1))</f>
        <v>96</v>
      </c>
      <c r="W258">
        <f>IF(SUMIFS(StandardName[RankValueInTheRanking],StandardName[StandardizedName],THE_ARWU[[#This Row],[Nazwa uczelni]],StandardName[Ranking],$W$1)=0,$N$3,SUMIFS(StandardName[RankValueInTheRanking],StandardName[StandardizedName],THE_ARWU[[#This Row],[Nazwa uczelni]],StandardName[Ranking],$W$1))</f>
        <v>21</v>
      </c>
      <c r="X258">
        <f>IF(SUMIFS(StandardName[RankValueInTheRanking],StandardName[StandardizedName],THE_ARWU[[#This Row],[Nazwa uczelni]],StandardName[Ranking],$X$1)=0,$N$3,SUMIFS(StandardName[RankValueInTheRanking],StandardName[StandardizedName],THE_ARWU[[#This Row],[Nazwa uczelni]],StandardName[Ranking],$X$1))</f>
        <v>75</v>
      </c>
      <c r="Y258" s="10">
        <f>SUM(THE_ARWU[[#This Row],[THE_RV1000]:[Webometrics_RV1000]])</f>
        <v>223</v>
      </c>
      <c r="Z258" s="2">
        <v>31</v>
      </c>
      <c r="AA258" s="2">
        <v>96</v>
      </c>
      <c r="AB258" s="2">
        <v>21</v>
      </c>
      <c r="AC258" s="2">
        <v>75</v>
      </c>
    </row>
    <row r="259" spans="9:29" outlineLevel="1" x14ac:dyDescent="0.45">
      <c r="I259" t="s">
        <v>313</v>
      </c>
      <c r="J259">
        <v>57</v>
      </c>
      <c r="K259" t="s">
        <v>313</v>
      </c>
      <c r="L259">
        <v>57</v>
      </c>
      <c r="M259" t="s">
        <v>846</v>
      </c>
      <c r="O259" t="s">
        <v>614</v>
      </c>
      <c r="P259">
        <v>1</v>
      </c>
      <c r="Q259">
        <v>1</v>
      </c>
      <c r="R259">
        <v>1</v>
      </c>
      <c r="S259">
        <v>1</v>
      </c>
      <c r="T259">
        <v>4</v>
      </c>
      <c r="U259">
        <f>IF(SUMIFS(StandardName[RankValueInTheRanking],StandardName[StandardizedName],THE_ARWU[[#This Row],[Nazwa uczelni]],StandardName[Ranking],$U$1)=0,$N$3,SUMIFS(StandardName[RankValueInTheRanking],StandardName[StandardizedName],THE_ARWU[[#This Row],[Nazwa uczelni]],StandardName[Ranking],$U$1))</f>
        <v>36</v>
      </c>
      <c r="V259">
        <f>IF(SUMIFS(StandardName[RankValueInTheRanking],StandardName[StandardizedName],THE_ARWU[[#This Row],[Nazwa uczelni]],StandardName[Ranking],$V$1)=0,$N$3,SUMIFS(StandardName[RankValueInTheRanking],StandardName[StandardizedName],THE_ARWU[[#This Row],[Nazwa uczelni]],StandardName[Ranking],$V$1))</f>
        <v>88</v>
      </c>
      <c r="W259">
        <f>IF(SUMIFS(StandardName[RankValueInTheRanking],StandardName[StandardizedName],THE_ARWU[[#This Row],[Nazwa uczelni]],StandardName[Ranking],$W$1)=0,$N$3,SUMIFS(StandardName[RankValueInTheRanking],StandardName[StandardizedName],THE_ARWU[[#This Row],[Nazwa uczelni]],StandardName[Ranking],$W$1))</f>
        <v>19</v>
      </c>
      <c r="X259">
        <f>IF(SUMIFS(StandardName[RankValueInTheRanking],StandardName[StandardizedName],THE_ARWU[[#This Row],[Nazwa uczelni]],StandardName[Ranking],$X$1)=0,$N$3,SUMIFS(StandardName[RankValueInTheRanking],StandardName[StandardizedName],THE_ARWU[[#This Row],[Nazwa uczelni]],StandardName[Ranking],$X$1))</f>
        <v>87</v>
      </c>
      <c r="Y259" s="10">
        <f>SUM(THE_ARWU[[#This Row],[THE_RV1000]:[Webometrics_RV1000]])</f>
        <v>230</v>
      </c>
      <c r="Z259" s="2">
        <v>36</v>
      </c>
      <c r="AA259" s="2">
        <v>88</v>
      </c>
      <c r="AB259" s="2">
        <v>19</v>
      </c>
      <c r="AC259" s="2">
        <v>87</v>
      </c>
    </row>
    <row r="260" spans="9:29" outlineLevel="1" x14ac:dyDescent="0.45">
      <c r="I260" t="s">
        <v>319</v>
      </c>
      <c r="J260">
        <v>58</v>
      </c>
      <c r="K260" t="s">
        <v>319</v>
      </c>
      <c r="L260">
        <v>58</v>
      </c>
      <c r="M260" t="s">
        <v>846</v>
      </c>
      <c r="O260" t="s">
        <v>245</v>
      </c>
      <c r="P260">
        <v>1</v>
      </c>
      <c r="Q260">
        <v>1</v>
      </c>
      <c r="R260">
        <v>1</v>
      </c>
      <c r="S260">
        <v>1</v>
      </c>
      <c r="T260">
        <v>4</v>
      </c>
      <c r="U260">
        <f>IF(SUMIFS(StandardName[RankValueInTheRanking],StandardName[StandardizedName],THE_ARWU[[#This Row],[Nazwa uczelni]],StandardName[Ranking],$U$1)=0,$N$3,SUMIFS(StandardName[RankValueInTheRanking],StandardName[StandardizedName],THE_ARWU[[#This Row],[Nazwa uczelni]],StandardName[Ranking],$U$1))</f>
        <v>44</v>
      </c>
      <c r="V260">
        <f>IF(SUMIFS(StandardName[RankValueInTheRanking],StandardName[StandardizedName],THE_ARWU[[#This Row],[Nazwa uczelni]],StandardName[Ranking],$V$1)=0,$N$3,SUMIFS(StandardName[RankValueInTheRanking],StandardName[StandardizedName],THE_ARWU[[#This Row],[Nazwa uczelni]],StandardName[Ranking],$V$1))</f>
        <v>75</v>
      </c>
      <c r="W260">
        <f>IF(SUMIFS(StandardName[RankValueInTheRanking],StandardName[StandardizedName],THE_ARWU[[#This Row],[Nazwa uczelni]],StandardName[Ranking],$W$1)=0,$N$3,SUMIFS(StandardName[RankValueInTheRanking],StandardName[StandardizedName],THE_ARWU[[#This Row],[Nazwa uczelni]],StandardName[Ranking],$W$1))</f>
        <v>57</v>
      </c>
      <c r="X260">
        <f>IF(SUMIFS(StandardName[RankValueInTheRanking],StandardName[StandardizedName],THE_ARWU[[#This Row],[Nazwa uczelni]],StandardName[Ranking],$X$1)=0,$N$3,SUMIFS(StandardName[RankValueInTheRanking],StandardName[StandardizedName],THE_ARWU[[#This Row],[Nazwa uczelni]],StandardName[Ranking],$X$1))</f>
        <v>57</v>
      </c>
      <c r="Y260" s="10">
        <f>SUM(THE_ARWU[[#This Row],[THE_RV1000]:[Webometrics_RV1000]])</f>
        <v>233</v>
      </c>
      <c r="Z260" s="2">
        <v>44</v>
      </c>
      <c r="AA260" s="2">
        <v>75</v>
      </c>
      <c r="AB260" s="2">
        <v>57</v>
      </c>
      <c r="AC260" s="2">
        <v>57</v>
      </c>
    </row>
    <row r="261" spans="9:29" outlineLevel="1" x14ac:dyDescent="0.45">
      <c r="I261" t="s">
        <v>322</v>
      </c>
      <c r="J261">
        <v>59</v>
      </c>
      <c r="K261" t="s">
        <v>322</v>
      </c>
      <c r="L261">
        <v>59</v>
      </c>
      <c r="M261" t="s">
        <v>846</v>
      </c>
      <c r="O261" t="s">
        <v>337</v>
      </c>
      <c r="P261">
        <v>1</v>
      </c>
      <c r="Q261">
        <v>1</v>
      </c>
      <c r="R261">
        <v>1</v>
      </c>
      <c r="S261">
        <v>1</v>
      </c>
      <c r="T261">
        <v>4</v>
      </c>
      <c r="U261">
        <f>IF(SUMIFS(StandardName[RankValueInTheRanking],StandardName[StandardizedName],THE_ARWU[[#This Row],[Nazwa uczelni]],StandardName[Ranking],$U$1)=0,$N$3,SUMIFS(StandardName[RankValueInTheRanking],StandardName[StandardizedName],THE_ARWU[[#This Row],[Nazwa uczelni]],StandardName[Ranking],$U$1))</f>
        <v>62</v>
      </c>
      <c r="V261">
        <f>IF(SUMIFS(StandardName[RankValueInTheRanking],StandardName[StandardizedName],THE_ARWU[[#This Row],[Nazwa uczelni]],StandardName[Ranking],$V$1)=0,$N$3,SUMIFS(StandardName[RankValueInTheRanking],StandardName[StandardizedName],THE_ARWU[[#This Row],[Nazwa uczelni]],StandardName[Ranking],$V$1))</f>
        <v>79</v>
      </c>
      <c r="W261">
        <f>IF(SUMIFS(StandardName[RankValueInTheRanking],StandardName[StandardizedName],THE_ARWU[[#This Row],[Nazwa uczelni]],StandardName[Ranking],$W$1)=0,$N$3,SUMIFS(StandardName[RankValueInTheRanking],StandardName[StandardizedName],THE_ARWU[[#This Row],[Nazwa uczelni]],StandardName[Ranking],$W$1))</f>
        <v>30</v>
      </c>
      <c r="X261">
        <f>IF(SUMIFS(StandardName[RankValueInTheRanking],StandardName[StandardizedName],THE_ARWU[[#This Row],[Nazwa uczelni]],StandardName[Ranking],$X$1)=0,$N$3,SUMIFS(StandardName[RankValueInTheRanking],StandardName[StandardizedName],THE_ARWU[[#This Row],[Nazwa uczelni]],StandardName[Ranking],$X$1))</f>
        <v>79</v>
      </c>
      <c r="Y261" s="10">
        <f>SUM(THE_ARWU[[#This Row],[THE_RV1000]:[Webometrics_RV1000]])</f>
        <v>250</v>
      </c>
      <c r="Z261" s="2">
        <v>62</v>
      </c>
      <c r="AA261" s="2">
        <v>79</v>
      </c>
      <c r="AB261" s="2">
        <v>30</v>
      </c>
      <c r="AC261" s="2">
        <v>79</v>
      </c>
    </row>
    <row r="262" spans="9:29" outlineLevel="1" x14ac:dyDescent="0.45">
      <c r="I262" t="s">
        <v>326</v>
      </c>
      <c r="J262">
        <v>60</v>
      </c>
      <c r="K262" t="s">
        <v>326</v>
      </c>
      <c r="L262">
        <v>60</v>
      </c>
      <c r="M262" t="s">
        <v>846</v>
      </c>
      <c r="O262" t="s">
        <v>306</v>
      </c>
      <c r="P262">
        <v>1</v>
      </c>
      <c r="Q262">
        <v>1</v>
      </c>
      <c r="R262">
        <v>1</v>
      </c>
      <c r="S262">
        <v>1</v>
      </c>
      <c r="T262">
        <v>4</v>
      </c>
      <c r="U262">
        <f>IF(SUMIFS(StandardName[RankValueInTheRanking],StandardName[StandardizedName],THE_ARWU[[#This Row],[Nazwa uczelni]],StandardName[Ranking],$U$1)=0,$N$3,SUMIFS(StandardName[RankValueInTheRanking],StandardName[StandardizedName],THE_ARWU[[#This Row],[Nazwa uczelni]],StandardName[Ranking],$U$1))</f>
        <v>56</v>
      </c>
      <c r="V262">
        <f>IF(SUMIFS(StandardName[RankValueInTheRanking],StandardName[StandardizedName],THE_ARWU[[#This Row],[Nazwa uczelni]],StandardName[Ranking],$V$1)=0,$N$3,SUMIFS(StandardName[RankValueInTheRanking],StandardName[StandardizedName],THE_ARWU[[#This Row],[Nazwa uczelni]],StandardName[Ranking],$V$1))</f>
        <v>98</v>
      </c>
      <c r="W262">
        <f>IF(SUMIFS(StandardName[RankValueInTheRanking],StandardName[StandardizedName],THE_ARWU[[#This Row],[Nazwa uczelni]],StandardName[Ranking],$W$1)=0,$N$3,SUMIFS(StandardName[RankValueInTheRanking],StandardName[StandardizedName],THE_ARWU[[#This Row],[Nazwa uczelni]],StandardName[Ranking],$W$1))</f>
        <v>29</v>
      </c>
      <c r="X262">
        <f>IF(SUMIFS(StandardName[RankValueInTheRanking],StandardName[StandardizedName],THE_ARWU[[#This Row],[Nazwa uczelni]],StandardName[Ranking],$X$1)=0,$N$3,SUMIFS(StandardName[RankValueInTheRanking],StandardName[StandardizedName],THE_ARWU[[#This Row],[Nazwa uczelni]],StandardName[Ranking],$X$1))</f>
        <v>96</v>
      </c>
      <c r="Y262" s="10">
        <f>SUM(THE_ARWU[[#This Row],[THE_RV1000]:[Webometrics_RV1000]])</f>
        <v>279</v>
      </c>
      <c r="Z262" s="2">
        <v>56</v>
      </c>
      <c r="AA262" s="2">
        <v>98</v>
      </c>
      <c r="AB262" s="2">
        <v>29</v>
      </c>
      <c r="AC262" s="2">
        <v>96</v>
      </c>
    </row>
    <row r="263" spans="9:29" outlineLevel="1" x14ac:dyDescent="0.45">
      <c r="I263" t="s">
        <v>332</v>
      </c>
      <c r="J263">
        <v>61</v>
      </c>
      <c r="K263" t="s">
        <v>332</v>
      </c>
      <c r="L263">
        <v>61</v>
      </c>
      <c r="M263" t="s">
        <v>846</v>
      </c>
      <c r="O263" t="s">
        <v>332</v>
      </c>
      <c r="P263">
        <v>1</v>
      </c>
      <c r="Q263">
        <v>1</v>
      </c>
      <c r="R263">
        <v>1</v>
      </c>
      <c r="S263">
        <v>1</v>
      </c>
      <c r="T263">
        <v>4</v>
      </c>
      <c r="U263">
        <f>IF(SUMIFS(StandardName[RankValueInTheRanking],StandardName[StandardizedName],THE_ARWU[[#This Row],[Nazwa uczelni]],StandardName[Ranking],$U$1)=0,$N$3,SUMIFS(StandardName[RankValueInTheRanking],StandardName[StandardizedName],THE_ARWU[[#This Row],[Nazwa uczelni]],StandardName[Ranking],$U$1))</f>
        <v>61</v>
      </c>
      <c r="V263">
        <f>IF(SUMIFS(StandardName[RankValueInTheRanking],StandardName[StandardizedName],THE_ARWU[[#This Row],[Nazwa uczelni]],StandardName[Ranking],$V$1)=0,$N$3,SUMIFS(StandardName[RankValueInTheRanking],StandardName[StandardizedName],THE_ARWU[[#This Row],[Nazwa uczelni]],StandardName[Ranking],$V$1))</f>
        <v>99</v>
      </c>
      <c r="W263">
        <f>IF(SUMIFS(StandardName[RankValueInTheRanking],StandardName[StandardizedName],THE_ARWU[[#This Row],[Nazwa uczelni]],StandardName[Ranking],$W$1)=0,$N$3,SUMIFS(StandardName[RankValueInTheRanking],StandardName[StandardizedName],THE_ARWU[[#This Row],[Nazwa uczelni]],StandardName[Ranking],$W$1))</f>
        <v>63</v>
      </c>
      <c r="X263">
        <f>IF(SUMIFS(StandardName[RankValueInTheRanking],StandardName[StandardizedName],THE_ARWU[[#This Row],[Nazwa uczelni]],StandardName[Ranking],$X$1)=0,$N$3,SUMIFS(StandardName[RankValueInTheRanking],StandardName[StandardizedName],THE_ARWU[[#This Row],[Nazwa uczelni]],StandardName[Ranking],$X$1))</f>
        <v>80</v>
      </c>
      <c r="Y263" s="10">
        <f>SUM(THE_ARWU[[#This Row],[THE_RV1000]:[Webometrics_RV1000]])</f>
        <v>303</v>
      </c>
      <c r="Z263" s="2">
        <v>61</v>
      </c>
      <c r="AA263" s="2">
        <v>99</v>
      </c>
      <c r="AB263" s="2">
        <v>63</v>
      </c>
      <c r="AC263" s="2">
        <v>80</v>
      </c>
    </row>
    <row r="264" spans="9:29" outlineLevel="1" x14ac:dyDescent="0.45">
      <c r="I264" t="s">
        <v>337</v>
      </c>
      <c r="J264">
        <v>62</v>
      </c>
      <c r="K264" t="s">
        <v>337</v>
      </c>
      <c r="L264">
        <v>62</v>
      </c>
      <c r="M264" t="s">
        <v>846</v>
      </c>
      <c r="O264" t="s">
        <v>425</v>
      </c>
      <c r="P264">
        <v>1</v>
      </c>
      <c r="Q264">
        <v>1</v>
      </c>
      <c r="R264">
        <v>1</v>
      </c>
      <c r="S264">
        <v>1</v>
      </c>
      <c r="T264">
        <v>4</v>
      </c>
      <c r="U264">
        <f>IF(SUMIFS(StandardName[RankValueInTheRanking],StandardName[StandardizedName],THE_ARWU[[#This Row],[Nazwa uczelni]],StandardName[Ranking],$U$1)=0,$N$3,SUMIFS(StandardName[RankValueInTheRanking],StandardName[StandardizedName],THE_ARWU[[#This Row],[Nazwa uczelni]],StandardName[Ranking],$U$1))</f>
        <v>82</v>
      </c>
      <c r="V264">
        <f>IF(SUMIFS(StandardName[RankValueInTheRanking],StandardName[StandardizedName],THE_ARWU[[#This Row],[Nazwa uczelni]],StandardName[Ranking],$V$1)=0,$N$3,SUMIFS(StandardName[RankValueInTheRanking],StandardName[StandardizedName],THE_ARWU[[#This Row],[Nazwa uczelni]],StandardName[Ranking],$V$1))</f>
        <v>59</v>
      </c>
      <c r="W264">
        <f>IF(SUMIFS(StandardName[RankValueInTheRanking],StandardName[StandardizedName],THE_ARWU[[#This Row],[Nazwa uczelni]],StandardName[Ranking],$W$1)=0,$N$3,SUMIFS(StandardName[RankValueInTheRanking],StandardName[StandardizedName],THE_ARWU[[#This Row],[Nazwa uczelni]],StandardName[Ranking],$W$1))</f>
        <v>83</v>
      </c>
      <c r="X264">
        <f>IF(SUMIFS(StandardName[RankValueInTheRanking],StandardName[StandardizedName],THE_ARWU[[#This Row],[Nazwa uczelni]],StandardName[Ranking],$X$1)=0,$N$3,SUMIFS(StandardName[RankValueInTheRanking],StandardName[StandardizedName],THE_ARWU[[#This Row],[Nazwa uczelni]],StandardName[Ranking],$X$1))</f>
        <v>92</v>
      </c>
      <c r="Y264" s="10">
        <f>SUM(THE_ARWU[[#This Row],[THE_RV1000]:[Webometrics_RV1000]])</f>
        <v>316</v>
      </c>
      <c r="Z264" s="2">
        <v>82</v>
      </c>
      <c r="AA264" s="2">
        <v>59</v>
      </c>
      <c r="AB264" s="2">
        <v>83</v>
      </c>
      <c r="AC264" s="2">
        <v>92</v>
      </c>
    </row>
    <row r="265" spans="9:29" outlineLevel="1" x14ac:dyDescent="0.45">
      <c r="I265" t="s">
        <v>340</v>
      </c>
      <c r="J265">
        <v>63</v>
      </c>
      <c r="K265" t="s">
        <v>807</v>
      </c>
      <c r="L265">
        <v>63</v>
      </c>
      <c r="M265" t="s">
        <v>846</v>
      </c>
      <c r="O265" t="s">
        <v>385</v>
      </c>
      <c r="P265">
        <v>1</v>
      </c>
      <c r="Q265">
        <v>1</v>
      </c>
      <c r="R265">
        <v>1</v>
      </c>
      <c r="S265">
        <v>1</v>
      </c>
      <c r="T265">
        <v>4</v>
      </c>
      <c r="U265">
        <f>IF(SUMIFS(StandardName[RankValueInTheRanking],StandardName[StandardizedName],THE_ARWU[[#This Row],[Nazwa uczelni]],StandardName[Ranking],$U$1)=0,$N$3,SUMIFS(StandardName[RankValueInTheRanking],StandardName[StandardizedName],THE_ARWU[[#This Row],[Nazwa uczelni]],StandardName[Ranking],$U$1))</f>
        <v>74</v>
      </c>
      <c r="V265">
        <f>IF(SUMIFS(StandardName[RankValueInTheRanking],StandardName[StandardizedName],THE_ARWU[[#This Row],[Nazwa uczelni]],StandardName[Ranking],$V$1)=0,$N$3,SUMIFS(StandardName[RankValueInTheRanking],StandardName[StandardizedName],THE_ARWU[[#This Row],[Nazwa uczelni]],StandardName[Ranking],$V$1))</f>
        <v>62</v>
      </c>
      <c r="W265">
        <f>IF(SUMIFS(StandardName[RankValueInTheRanking],StandardName[StandardizedName],THE_ARWU[[#This Row],[Nazwa uczelni]],StandardName[Ranking],$W$1)=0,$N$3,SUMIFS(StandardName[RankValueInTheRanking],StandardName[StandardizedName],THE_ARWU[[#This Row],[Nazwa uczelni]],StandardName[Ranking],$W$1))</f>
        <v>94</v>
      </c>
      <c r="X265">
        <f>IF(SUMIFS(StandardName[RankValueInTheRanking],StandardName[StandardizedName],THE_ARWU[[#This Row],[Nazwa uczelni]],StandardName[Ranking],$X$1)=0,$N$3,SUMIFS(StandardName[RankValueInTheRanking],StandardName[StandardizedName],THE_ARWU[[#This Row],[Nazwa uczelni]],StandardName[Ranking],$X$1))</f>
        <v>95</v>
      </c>
      <c r="Y265" s="10">
        <f>SUM(THE_ARWU[[#This Row],[THE_RV1000]:[Webometrics_RV1000]])</f>
        <v>325</v>
      </c>
      <c r="Z265" s="2">
        <v>74</v>
      </c>
      <c r="AA265" s="2">
        <v>62</v>
      </c>
      <c r="AB265" s="2">
        <v>94</v>
      </c>
      <c r="AC265" s="2">
        <v>95</v>
      </c>
    </row>
    <row r="266" spans="9:29" outlineLevel="1" x14ac:dyDescent="0.45">
      <c r="I266" t="s">
        <v>345</v>
      </c>
      <c r="J266">
        <v>64</v>
      </c>
      <c r="K266" t="s">
        <v>829</v>
      </c>
      <c r="L266">
        <v>64</v>
      </c>
      <c r="M266" t="s">
        <v>846</v>
      </c>
      <c r="O266" t="s">
        <v>663</v>
      </c>
      <c r="P266">
        <v>1</v>
      </c>
      <c r="Q266">
        <v>1</v>
      </c>
      <c r="R266">
        <v>1</v>
      </c>
      <c r="S266">
        <v>0</v>
      </c>
      <c r="T266">
        <v>3</v>
      </c>
      <c r="U266">
        <f>IF(SUMIFS(StandardName[RankValueInTheRanking],StandardName[StandardizedName],THE_ARWU[[#This Row],[Nazwa uczelni]],StandardName[Ranking],$U$1)=0,$N$3,SUMIFS(StandardName[RankValueInTheRanking],StandardName[StandardizedName],THE_ARWU[[#This Row],[Nazwa uczelni]],StandardName[Ranking],$U$1))</f>
        <v>47</v>
      </c>
      <c r="V266">
        <f>IF(SUMIFS(StandardName[RankValueInTheRanking],StandardName[StandardizedName],THE_ARWU[[#This Row],[Nazwa uczelni]],StandardName[Ranking],$V$1)=0,$N$3,SUMIFS(StandardName[RankValueInTheRanking],StandardName[StandardizedName],THE_ARWU[[#This Row],[Nazwa uczelni]],StandardName[Ranking],$V$1))</f>
        <v>40</v>
      </c>
      <c r="W266">
        <f>IF(SUMIFS(StandardName[RankValueInTheRanking],StandardName[StandardizedName],THE_ARWU[[#This Row],[Nazwa uczelni]],StandardName[Ranking],$W$1)=0,$N$3,SUMIFS(StandardName[RankValueInTheRanking],StandardName[StandardizedName],THE_ARWU[[#This Row],[Nazwa uczelni]],StandardName[Ranking],$W$1))</f>
        <v>26</v>
      </c>
      <c r="X266">
        <f>IF(SUMIFS(StandardName[RankValueInTheRanking],StandardName[StandardizedName],THE_ARWU[[#This Row],[Nazwa uczelni]],StandardName[Ranking],$X$1)=0,$N$3,SUMIFS(StandardName[RankValueInTheRanking],StandardName[StandardizedName],THE_ARWU[[#This Row],[Nazwa uczelni]],StandardName[Ranking],$X$1))</f>
        <v>250</v>
      </c>
      <c r="Y266" s="10">
        <f>SUM(THE_ARWU[[#This Row],[THE_RV1000]:[Webometrics_RV1000]])</f>
        <v>363</v>
      </c>
      <c r="Z266" s="2">
        <v>47</v>
      </c>
      <c r="AA266" s="2">
        <v>40</v>
      </c>
      <c r="AB266" s="2">
        <v>26</v>
      </c>
      <c r="AC266" s="2">
        <v>0</v>
      </c>
    </row>
    <row r="267" spans="9:29" outlineLevel="1" x14ac:dyDescent="0.45">
      <c r="I267" t="s">
        <v>347</v>
      </c>
      <c r="J267">
        <v>65</v>
      </c>
      <c r="K267" t="s">
        <v>347</v>
      </c>
      <c r="L267">
        <v>65</v>
      </c>
      <c r="M267" t="s">
        <v>846</v>
      </c>
      <c r="O267" t="s">
        <v>313</v>
      </c>
      <c r="P267">
        <v>1</v>
      </c>
      <c r="Q267">
        <v>1</v>
      </c>
      <c r="R267">
        <v>0</v>
      </c>
      <c r="S267">
        <v>1</v>
      </c>
      <c r="T267">
        <v>3</v>
      </c>
      <c r="U267">
        <f>IF(SUMIFS(StandardName[RankValueInTheRanking],StandardName[StandardizedName],THE_ARWU[[#This Row],[Nazwa uczelni]],StandardName[Ranking],$U$1)=0,$N$3,SUMIFS(StandardName[RankValueInTheRanking],StandardName[StandardizedName],THE_ARWU[[#This Row],[Nazwa uczelni]],StandardName[Ranking],$U$1))</f>
        <v>57</v>
      </c>
      <c r="V267">
        <f>IF(SUMIFS(StandardName[RankValueInTheRanking],StandardName[StandardizedName],THE_ARWU[[#This Row],[Nazwa uczelni]],StandardName[Ranking],$V$1)=0,$N$3,SUMIFS(StandardName[RankValueInTheRanking],StandardName[StandardizedName],THE_ARWU[[#This Row],[Nazwa uczelni]],StandardName[Ranking],$V$1))</f>
        <v>27</v>
      </c>
      <c r="W267">
        <f>IF(SUMIFS(StandardName[RankValueInTheRanking],StandardName[StandardizedName],THE_ARWU[[#This Row],[Nazwa uczelni]],StandardName[Ranking],$W$1)=0,$N$3,SUMIFS(StandardName[RankValueInTheRanking],StandardName[StandardizedName],THE_ARWU[[#This Row],[Nazwa uczelni]],StandardName[Ranking],$W$1))</f>
        <v>250</v>
      </c>
      <c r="X267">
        <f>IF(SUMIFS(StandardName[RankValueInTheRanking],StandardName[StandardizedName],THE_ARWU[[#This Row],[Nazwa uczelni]],StandardName[Ranking],$X$1)=0,$N$3,SUMIFS(StandardName[RankValueInTheRanking],StandardName[StandardizedName],THE_ARWU[[#This Row],[Nazwa uczelni]],StandardName[Ranking],$X$1))</f>
        <v>42</v>
      </c>
      <c r="Y267" s="10">
        <f>SUM(THE_ARWU[[#This Row],[THE_RV1000]:[Webometrics_RV1000]])</f>
        <v>376</v>
      </c>
      <c r="Z267" s="2">
        <v>57</v>
      </c>
      <c r="AA267" s="2">
        <v>27</v>
      </c>
      <c r="AB267" s="2">
        <v>0</v>
      </c>
      <c r="AC267" s="2">
        <v>42</v>
      </c>
    </row>
    <row r="268" spans="9:29" outlineLevel="1" x14ac:dyDescent="0.45">
      <c r="I268" t="s">
        <v>352</v>
      </c>
      <c r="J268">
        <v>66</v>
      </c>
      <c r="K268" t="s">
        <v>352</v>
      </c>
      <c r="L268">
        <v>66</v>
      </c>
      <c r="M268" t="s">
        <v>846</v>
      </c>
      <c r="O268" t="s">
        <v>366</v>
      </c>
      <c r="P268">
        <v>1</v>
      </c>
      <c r="Q268">
        <v>1</v>
      </c>
      <c r="R268">
        <v>0</v>
      </c>
      <c r="S268">
        <v>1</v>
      </c>
      <c r="T268">
        <v>3</v>
      </c>
      <c r="U268">
        <f>IF(SUMIFS(StandardName[RankValueInTheRanking],StandardName[StandardizedName],THE_ARWU[[#This Row],[Nazwa uczelni]],StandardName[Ranking],$U$1)=0,$N$3,SUMIFS(StandardName[RankValueInTheRanking],StandardName[StandardizedName],THE_ARWU[[#This Row],[Nazwa uczelni]],StandardName[Ranking],$U$1))</f>
        <v>69</v>
      </c>
      <c r="V268">
        <f>IF(SUMIFS(StandardName[RankValueInTheRanking],StandardName[StandardizedName],THE_ARWU[[#This Row],[Nazwa uczelni]],StandardName[Ranking],$V$1)=0,$N$3,SUMIFS(StandardName[RankValueInTheRanking],StandardName[StandardizedName],THE_ARWU[[#This Row],[Nazwa uczelni]],StandardName[Ranking],$V$1))</f>
        <v>29</v>
      </c>
      <c r="W268">
        <f>IF(SUMIFS(StandardName[RankValueInTheRanking],StandardName[StandardizedName],THE_ARWU[[#This Row],[Nazwa uczelni]],StandardName[Ranking],$W$1)=0,$N$3,SUMIFS(StandardName[RankValueInTheRanking],StandardName[StandardizedName],THE_ARWU[[#This Row],[Nazwa uczelni]],StandardName[Ranking],$W$1))</f>
        <v>250</v>
      </c>
      <c r="X268">
        <f>IF(SUMIFS(StandardName[RankValueInTheRanking],StandardName[StandardizedName],THE_ARWU[[#This Row],[Nazwa uczelni]],StandardName[Ranking],$X$1)=0,$N$3,SUMIFS(StandardName[RankValueInTheRanking],StandardName[StandardizedName],THE_ARWU[[#This Row],[Nazwa uczelni]],StandardName[Ranking],$X$1))</f>
        <v>28</v>
      </c>
      <c r="Y268" s="10">
        <f>SUM(THE_ARWU[[#This Row],[THE_RV1000]:[Webometrics_RV1000]])</f>
        <v>376</v>
      </c>
      <c r="Z268" s="2">
        <v>69</v>
      </c>
      <c r="AA268" s="2">
        <v>29</v>
      </c>
      <c r="AB268" s="2">
        <v>0</v>
      </c>
      <c r="AC268" s="2">
        <v>28</v>
      </c>
    </row>
    <row r="269" spans="9:29" outlineLevel="1" x14ac:dyDescent="0.45">
      <c r="I269" t="s">
        <v>355</v>
      </c>
      <c r="J269">
        <v>67</v>
      </c>
      <c r="K269" t="s">
        <v>355</v>
      </c>
      <c r="L269">
        <v>67</v>
      </c>
      <c r="M269" t="s">
        <v>846</v>
      </c>
      <c r="O269" t="s">
        <v>173</v>
      </c>
      <c r="P269">
        <v>1</v>
      </c>
      <c r="Q269">
        <v>1</v>
      </c>
      <c r="R269">
        <v>1</v>
      </c>
      <c r="S269">
        <v>0</v>
      </c>
      <c r="T269">
        <v>3</v>
      </c>
      <c r="U269">
        <f>IF(SUMIFS(StandardName[RankValueInTheRanking],StandardName[StandardizedName],THE_ARWU[[#This Row],[Nazwa uczelni]],StandardName[Ranking],$U$1)=0,$N$3,SUMIFS(StandardName[RankValueInTheRanking],StandardName[StandardizedName],THE_ARWU[[#This Row],[Nazwa uczelni]],StandardName[Ranking],$U$1))</f>
        <v>30</v>
      </c>
      <c r="V269">
        <f>IF(SUMIFS(StandardName[RankValueInTheRanking],StandardName[StandardizedName],THE_ARWU[[#This Row],[Nazwa uczelni]],StandardName[Ranking],$V$1)=0,$N$3,SUMIFS(StandardName[RankValueInTheRanking],StandardName[StandardizedName],THE_ARWU[[#This Row],[Nazwa uczelni]],StandardName[Ranking],$V$1))</f>
        <v>56</v>
      </c>
      <c r="W269">
        <f>IF(SUMIFS(StandardName[RankValueInTheRanking],StandardName[StandardizedName],THE_ARWU[[#This Row],[Nazwa uczelni]],StandardName[Ranking],$W$1)=0,$N$3,SUMIFS(StandardName[RankValueInTheRanking],StandardName[StandardizedName],THE_ARWU[[#This Row],[Nazwa uczelni]],StandardName[Ranking],$W$1))</f>
        <v>49</v>
      </c>
      <c r="X269">
        <f>IF(SUMIFS(StandardName[RankValueInTheRanking],StandardName[StandardizedName],THE_ARWU[[#This Row],[Nazwa uczelni]],StandardName[Ranking],$X$1)=0,$N$3,SUMIFS(StandardName[RankValueInTheRanking],StandardName[StandardizedName],THE_ARWU[[#This Row],[Nazwa uczelni]],StandardName[Ranking],$X$1))</f>
        <v>250</v>
      </c>
      <c r="Y269" s="10">
        <f>SUM(THE_ARWU[[#This Row],[THE_RV1000]:[Webometrics_RV1000]])</f>
        <v>385</v>
      </c>
      <c r="Z269">
        <v>30</v>
      </c>
      <c r="AA269">
        <v>56</v>
      </c>
      <c r="AB269">
        <v>49</v>
      </c>
      <c r="AC269">
        <v>0</v>
      </c>
    </row>
    <row r="270" spans="9:29" outlineLevel="1" x14ac:dyDescent="0.45">
      <c r="I270" t="s">
        <v>360</v>
      </c>
      <c r="J270">
        <v>68</v>
      </c>
      <c r="K270" t="s">
        <v>360</v>
      </c>
      <c r="L270">
        <v>68</v>
      </c>
      <c r="M270" t="s">
        <v>846</v>
      </c>
      <c r="O270" t="s">
        <v>360</v>
      </c>
      <c r="P270">
        <v>1</v>
      </c>
      <c r="Q270">
        <v>1</v>
      </c>
      <c r="R270">
        <v>1</v>
      </c>
      <c r="S270">
        <v>0</v>
      </c>
      <c r="T270">
        <v>3</v>
      </c>
      <c r="U270">
        <f>IF(SUMIFS(StandardName[RankValueInTheRanking],StandardName[StandardizedName],THE_ARWU[[#This Row],[Nazwa uczelni]],StandardName[Ranking],$U$1)=0,$N$3,SUMIFS(StandardName[RankValueInTheRanking],StandardName[StandardizedName],THE_ARWU[[#This Row],[Nazwa uczelni]],StandardName[Ranking],$U$1))</f>
        <v>68</v>
      </c>
      <c r="V270">
        <f>IF(SUMIFS(StandardName[RankValueInTheRanking],StandardName[StandardizedName],THE_ARWU[[#This Row],[Nazwa uczelni]],StandardName[Ranking],$V$1)=0,$N$3,SUMIFS(StandardName[RankValueInTheRanking],StandardName[StandardizedName],THE_ARWU[[#This Row],[Nazwa uczelni]],StandardName[Ranking],$V$1))</f>
        <v>41</v>
      </c>
      <c r="W270">
        <f>IF(SUMIFS(StandardName[RankValueInTheRanking],StandardName[StandardizedName],THE_ARWU[[#This Row],[Nazwa uczelni]],StandardName[Ranking],$W$1)=0,$N$3,SUMIFS(StandardName[RankValueInTheRanking],StandardName[StandardizedName],THE_ARWU[[#This Row],[Nazwa uczelni]],StandardName[Ranking],$W$1))</f>
        <v>36</v>
      </c>
      <c r="X270">
        <f>IF(SUMIFS(StandardName[RankValueInTheRanking],StandardName[StandardizedName],THE_ARWU[[#This Row],[Nazwa uczelni]],StandardName[Ranking],$X$1)=0,$N$3,SUMIFS(StandardName[RankValueInTheRanking],StandardName[StandardizedName],THE_ARWU[[#This Row],[Nazwa uczelni]],StandardName[Ranking],$X$1))</f>
        <v>250</v>
      </c>
      <c r="Y270" s="10">
        <f>SUM(THE_ARWU[[#This Row],[THE_RV1000]:[Webometrics_RV1000]])</f>
        <v>395</v>
      </c>
      <c r="Z270">
        <v>68</v>
      </c>
      <c r="AA270">
        <v>41</v>
      </c>
      <c r="AB270">
        <v>36</v>
      </c>
      <c r="AC270">
        <v>0</v>
      </c>
    </row>
    <row r="271" spans="9:29" outlineLevel="1" x14ac:dyDescent="0.45">
      <c r="I271" t="s">
        <v>366</v>
      </c>
      <c r="J271">
        <v>69</v>
      </c>
      <c r="K271" t="s">
        <v>366</v>
      </c>
      <c r="L271">
        <v>69</v>
      </c>
      <c r="M271" t="s">
        <v>846</v>
      </c>
      <c r="O271" t="s">
        <v>347</v>
      </c>
      <c r="P271">
        <v>1</v>
      </c>
      <c r="Q271">
        <v>1</v>
      </c>
      <c r="R271">
        <v>0</v>
      </c>
      <c r="S271">
        <v>1</v>
      </c>
      <c r="T271">
        <v>3</v>
      </c>
      <c r="U271">
        <f>IF(SUMIFS(StandardName[RankValueInTheRanking],StandardName[StandardizedName],THE_ARWU[[#This Row],[Nazwa uczelni]],StandardName[Ranking],$U$1)=0,$N$3,SUMIFS(StandardName[RankValueInTheRanking],StandardName[StandardizedName],THE_ARWU[[#This Row],[Nazwa uczelni]],StandardName[Ranking],$U$1))</f>
        <v>65</v>
      </c>
      <c r="V271">
        <f>IF(SUMIFS(StandardName[RankValueInTheRanking],StandardName[StandardizedName],THE_ARWU[[#This Row],[Nazwa uczelni]],StandardName[Ranking],$V$1)=0,$N$3,SUMIFS(StandardName[RankValueInTheRanking],StandardName[StandardizedName],THE_ARWU[[#This Row],[Nazwa uczelni]],StandardName[Ranking],$V$1))</f>
        <v>53</v>
      </c>
      <c r="W271">
        <f>IF(SUMIFS(StandardName[RankValueInTheRanking],StandardName[StandardizedName],THE_ARWU[[#This Row],[Nazwa uczelni]],StandardName[Ranking],$W$1)=0,$N$3,SUMIFS(StandardName[RankValueInTheRanking],StandardName[StandardizedName],THE_ARWU[[#This Row],[Nazwa uczelni]],StandardName[Ranking],$W$1))</f>
        <v>250</v>
      </c>
      <c r="X271">
        <f>IF(SUMIFS(StandardName[RankValueInTheRanking],StandardName[StandardizedName],THE_ARWU[[#This Row],[Nazwa uczelni]],StandardName[Ranking],$X$1)=0,$N$3,SUMIFS(StandardName[RankValueInTheRanking],StandardName[StandardizedName],THE_ARWU[[#This Row],[Nazwa uczelni]],StandardName[Ranking],$X$1))</f>
        <v>31</v>
      </c>
      <c r="Y271" s="10">
        <f>SUM(THE_ARWU[[#This Row],[THE_RV1000]:[Webometrics_RV1000]])</f>
        <v>399</v>
      </c>
      <c r="Z271">
        <v>65</v>
      </c>
      <c r="AA271">
        <v>53</v>
      </c>
      <c r="AB271">
        <v>0</v>
      </c>
      <c r="AC271">
        <v>31</v>
      </c>
    </row>
    <row r="272" spans="9:29" outlineLevel="1" x14ac:dyDescent="0.45">
      <c r="I272" t="s">
        <v>369</v>
      </c>
      <c r="J272">
        <v>70</v>
      </c>
      <c r="K272" t="s">
        <v>369</v>
      </c>
      <c r="L272">
        <v>70</v>
      </c>
      <c r="M272" t="s">
        <v>846</v>
      </c>
      <c r="O272" t="s">
        <v>282</v>
      </c>
      <c r="P272">
        <v>1</v>
      </c>
      <c r="Q272">
        <v>1</v>
      </c>
      <c r="R272">
        <v>1</v>
      </c>
      <c r="S272">
        <v>0</v>
      </c>
      <c r="T272">
        <v>3</v>
      </c>
      <c r="U272">
        <f>IF(SUMIFS(StandardName[RankValueInTheRanking],StandardName[StandardizedName],THE_ARWU[[#This Row],[Nazwa uczelni]],StandardName[Ranking],$U$1)=0,$N$3,SUMIFS(StandardName[RankValueInTheRanking],StandardName[StandardizedName],THE_ARWU[[#This Row],[Nazwa uczelni]],StandardName[Ranking],$U$1))</f>
        <v>51</v>
      </c>
      <c r="V272">
        <f>IF(SUMIFS(StandardName[RankValueInTheRanking],StandardName[StandardizedName],THE_ARWU[[#This Row],[Nazwa uczelni]],StandardName[Ranking],$V$1)=0,$N$3,SUMIFS(StandardName[RankValueInTheRanking],StandardName[StandardizedName],THE_ARWU[[#This Row],[Nazwa uczelni]],StandardName[Ranking],$V$1))</f>
        <v>67</v>
      </c>
      <c r="W272">
        <f>IF(SUMIFS(StandardName[RankValueInTheRanking],StandardName[StandardizedName],THE_ARWU[[#This Row],[Nazwa uczelni]],StandardName[Ranking],$W$1)=0,$N$3,SUMIFS(StandardName[RankValueInTheRanking],StandardName[StandardizedName],THE_ARWU[[#This Row],[Nazwa uczelni]],StandardName[Ranking],$W$1))</f>
        <v>34</v>
      </c>
      <c r="X272">
        <f>IF(SUMIFS(StandardName[RankValueInTheRanking],StandardName[StandardizedName],THE_ARWU[[#This Row],[Nazwa uczelni]],StandardName[Ranking],$X$1)=0,$N$3,SUMIFS(StandardName[RankValueInTheRanking],StandardName[StandardizedName],THE_ARWU[[#This Row],[Nazwa uczelni]],StandardName[Ranking],$X$1))</f>
        <v>250</v>
      </c>
      <c r="Y272" s="10">
        <f>SUM(THE_ARWU[[#This Row],[THE_RV1000]:[Webometrics_RV1000]])</f>
        <v>402</v>
      </c>
      <c r="Z272">
        <v>51</v>
      </c>
      <c r="AA272">
        <v>67</v>
      </c>
      <c r="AB272">
        <v>34</v>
      </c>
      <c r="AC272">
        <v>0</v>
      </c>
    </row>
    <row r="273" spans="9:29" outlineLevel="1" x14ac:dyDescent="0.45">
      <c r="I273" t="s">
        <v>372</v>
      </c>
      <c r="J273">
        <v>71</v>
      </c>
      <c r="K273" t="s">
        <v>372</v>
      </c>
      <c r="L273">
        <v>71</v>
      </c>
      <c r="M273" t="s">
        <v>846</v>
      </c>
      <c r="O273" t="s">
        <v>456</v>
      </c>
      <c r="P273">
        <v>1</v>
      </c>
      <c r="Q273">
        <v>1</v>
      </c>
      <c r="R273">
        <v>1</v>
      </c>
      <c r="S273">
        <v>0</v>
      </c>
      <c r="T273">
        <v>3</v>
      </c>
      <c r="U273">
        <f>IF(SUMIFS(StandardName[RankValueInTheRanking],StandardName[StandardizedName],THE_ARWU[[#This Row],[Nazwa uczelni]],StandardName[Ranking],$U$1)=0,$N$3,SUMIFS(StandardName[RankValueInTheRanking],StandardName[StandardizedName],THE_ARWU[[#This Row],[Nazwa uczelni]],StandardName[Ranking],$U$1))</f>
        <v>93</v>
      </c>
      <c r="V273">
        <f>IF(SUMIFS(StandardName[RankValueInTheRanking],StandardName[StandardizedName],THE_ARWU[[#This Row],[Nazwa uczelni]],StandardName[Ranking],$V$1)=0,$N$3,SUMIFS(StandardName[RankValueInTheRanking],StandardName[StandardizedName],THE_ARWU[[#This Row],[Nazwa uczelni]],StandardName[Ranking],$V$1))</f>
        <v>16</v>
      </c>
      <c r="W273">
        <f>IF(SUMIFS(StandardName[RankValueInTheRanking],StandardName[StandardizedName],THE_ARWU[[#This Row],[Nazwa uczelni]],StandardName[Ranking],$W$1)=0,$N$3,SUMIFS(StandardName[RankValueInTheRanking],StandardName[StandardizedName],THE_ARWU[[#This Row],[Nazwa uczelni]],StandardName[Ranking],$W$1))</f>
        <v>69</v>
      </c>
      <c r="X273">
        <f>IF(SUMIFS(StandardName[RankValueInTheRanking],StandardName[StandardizedName],THE_ARWU[[#This Row],[Nazwa uczelni]],StandardName[Ranking],$X$1)=0,$N$3,SUMIFS(StandardName[RankValueInTheRanking],StandardName[StandardizedName],THE_ARWU[[#This Row],[Nazwa uczelni]],StandardName[Ranking],$X$1))</f>
        <v>250</v>
      </c>
      <c r="Y273" s="10">
        <f>SUM(THE_ARWU[[#This Row],[THE_RV1000]:[Webometrics_RV1000]])</f>
        <v>428</v>
      </c>
      <c r="Z273">
        <v>93</v>
      </c>
      <c r="AA273">
        <v>16</v>
      </c>
      <c r="AB273">
        <v>69</v>
      </c>
      <c r="AC273">
        <v>0</v>
      </c>
    </row>
    <row r="274" spans="9:29" outlineLevel="1" x14ac:dyDescent="0.45">
      <c r="I274" t="s">
        <v>378</v>
      </c>
      <c r="J274">
        <v>72</v>
      </c>
      <c r="K274" t="s">
        <v>810</v>
      </c>
      <c r="L274">
        <v>71</v>
      </c>
      <c r="M274" t="s">
        <v>846</v>
      </c>
      <c r="O274" t="s">
        <v>352</v>
      </c>
      <c r="P274">
        <v>1</v>
      </c>
      <c r="Q274">
        <v>1</v>
      </c>
      <c r="R274">
        <v>0</v>
      </c>
      <c r="S274">
        <v>1</v>
      </c>
      <c r="T274">
        <v>3</v>
      </c>
      <c r="U274">
        <f>IF(SUMIFS(StandardName[RankValueInTheRanking],StandardName[StandardizedName],THE_ARWU[[#This Row],[Nazwa uczelni]],StandardName[Ranking],$U$1)=0,$N$3,SUMIFS(StandardName[RankValueInTheRanking],StandardName[StandardizedName],THE_ARWU[[#This Row],[Nazwa uczelni]],StandardName[Ranking],$U$1))</f>
        <v>66</v>
      </c>
      <c r="V274">
        <f>IF(SUMIFS(StandardName[RankValueInTheRanking],StandardName[StandardizedName],THE_ARWU[[#This Row],[Nazwa uczelni]],StandardName[Ranking],$V$1)=0,$N$3,SUMIFS(StandardName[RankValueInTheRanking],StandardName[StandardizedName],THE_ARWU[[#This Row],[Nazwa uczelni]],StandardName[Ranking],$V$1))</f>
        <v>54</v>
      </c>
      <c r="W274">
        <f>IF(SUMIFS(StandardName[RankValueInTheRanking],StandardName[StandardizedName],THE_ARWU[[#This Row],[Nazwa uczelni]],StandardName[Ranking],$W$1)=0,$N$3,SUMIFS(StandardName[RankValueInTheRanking],StandardName[StandardizedName],THE_ARWU[[#This Row],[Nazwa uczelni]],StandardName[Ranking],$W$1))</f>
        <v>250</v>
      </c>
      <c r="X274">
        <f>IF(SUMIFS(StandardName[RankValueInTheRanking],StandardName[StandardizedName],THE_ARWU[[#This Row],[Nazwa uczelni]],StandardName[Ranking],$X$1)=0,$N$3,SUMIFS(StandardName[RankValueInTheRanking],StandardName[StandardizedName],THE_ARWU[[#This Row],[Nazwa uczelni]],StandardName[Ranking],$X$1))</f>
        <v>65</v>
      </c>
      <c r="Y274" s="10">
        <f>SUM(THE_ARWU[[#This Row],[THE_RV1000]:[Webometrics_RV1000]])</f>
        <v>435</v>
      </c>
      <c r="Z274">
        <v>66</v>
      </c>
      <c r="AA274">
        <v>54</v>
      </c>
      <c r="AB274">
        <v>0</v>
      </c>
      <c r="AC274">
        <v>65</v>
      </c>
    </row>
    <row r="275" spans="9:29" outlineLevel="1" x14ac:dyDescent="0.45">
      <c r="I275" t="s">
        <v>381</v>
      </c>
      <c r="J275">
        <v>73</v>
      </c>
      <c r="K275" t="s">
        <v>381</v>
      </c>
      <c r="L275">
        <v>73</v>
      </c>
      <c r="M275" t="s">
        <v>846</v>
      </c>
      <c r="O275" t="s">
        <v>446</v>
      </c>
      <c r="P275">
        <v>1</v>
      </c>
      <c r="Q275">
        <v>1</v>
      </c>
      <c r="R275">
        <v>1</v>
      </c>
      <c r="S275">
        <v>0</v>
      </c>
      <c r="T275">
        <v>3</v>
      </c>
      <c r="U275">
        <f>IF(SUMIFS(StandardName[RankValueInTheRanking],StandardName[StandardizedName],THE_ARWU[[#This Row],[Nazwa uczelni]],StandardName[Ranking],$U$1)=0,$N$3,SUMIFS(StandardName[RankValueInTheRanking],StandardName[StandardizedName],THE_ARWU[[#This Row],[Nazwa uczelni]],StandardName[Ranking],$U$1))</f>
        <v>90</v>
      </c>
      <c r="V275">
        <f>IF(SUMIFS(StandardName[RankValueInTheRanking],StandardName[StandardizedName],THE_ARWU[[#This Row],[Nazwa uczelni]],StandardName[Ranking],$V$1)=0,$N$3,SUMIFS(StandardName[RankValueInTheRanking],StandardName[StandardizedName],THE_ARWU[[#This Row],[Nazwa uczelni]],StandardName[Ranking],$V$1))</f>
        <v>43</v>
      </c>
      <c r="W275">
        <f>IF(SUMIFS(StandardName[RankValueInTheRanking],StandardName[StandardizedName],THE_ARWU[[#This Row],[Nazwa uczelni]],StandardName[Ranking],$W$1)=0,$N$3,SUMIFS(StandardName[RankValueInTheRanking],StandardName[StandardizedName],THE_ARWU[[#This Row],[Nazwa uczelni]],StandardName[Ranking],$W$1))</f>
        <v>60</v>
      </c>
      <c r="X275">
        <f>IF(SUMIFS(StandardName[RankValueInTheRanking],StandardName[StandardizedName],THE_ARWU[[#This Row],[Nazwa uczelni]],StandardName[Ranking],$X$1)=0,$N$3,SUMIFS(StandardName[RankValueInTheRanking],StandardName[StandardizedName],THE_ARWU[[#This Row],[Nazwa uczelni]],StandardName[Ranking],$X$1))</f>
        <v>250</v>
      </c>
      <c r="Y275" s="10">
        <f>SUM(THE_ARWU[[#This Row],[THE_RV1000]:[Webometrics_RV1000]])</f>
        <v>443</v>
      </c>
      <c r="Z275">
        <v>90</v>
      </c>
      <c r="AA275">
        <v>43</v>
      </c>
      <c r="AB275">
        <v>60</v>
      </c>
      <c r="AC275">
        <v>0</v>
      </c>
    </row>
    <row r="276" spans="9:29" outlineLevel="1" x14ac:dyDescent="0.45">
      <c r="I276" t="s">
        <v>385</v>
      </c>
      <c r="J276">
        <v>74</v>
      </c>
      <c r="K276" t="s">
        <v>385</v>
      </c>
      <c r="L276">
        <v>74</v>
      </c>
      <c r="M276" t="s">
        <v>846</v>
      </c>
      <c r="O276" t="s">
        <v>808</v>
      </c>
      <c r="P276">
        <v>1</v>
      </c>
      <c r="Q276">
        <v>1</v>
      </c>
      <c r="R276">
        <v>0</v>
      </c>
      <c r="S276">
        <v>1</v>
      </c>
      <c r="T276">
        <v>3</v>
      </c>
      <c r="U276">
        <f>IF(SUMIFS(StandardName[RankValueInTheRanking],StandardName[StandardizedName],THE_ARWU[[#This Row],[Nazwa uczelni]],StandardName[Ranking],$U$1)=0,$N$3,SUMIFS(StandardName[RankValueInTheRanking],StandardName[StandardizedName],THE_ARWU[[#This Row],[Nazwa uczelni]],StandardName[Ranking],$U$1))</f>
        <v>95</v>
      </c>
      <c r="V276">
        <f>IF(SUMIFS(StandardName[RankValueInTheRanking],StandardName[StandardizedName],THE_ARWU[[#This Row],[Nazwa uczelni]],StandardName[Ranking],$V$1)=0,$N$3,SUMIFS(StandardName[RankValueInTheRanking],StandardName[StandardizedName],THE_ARWU[[#This Row],[Nazwa uczelni]],StandardName[Ranking],$V$1))</f>
        <v>61</v>
      </c>
      <c r="W276">
        <f>IF(SUMIFS(StandardName[RankValueInTheRanking],StandardName[StandardizedName],THE_ARWU[[#This Row],[Nazwa uczelni]],StandardName[Ranking],$W$1)=0,$N$3,SUMIFS(StandardName[RankValueInTheRanking],StandardName[StandardizedName],THE_ARWU[[#This Row],[Nazwa uczelni]],StandardName[Ranking],$W$1))</f>
        <v>250</v>
      </c>
      <c r="X276">
        <f>IF(SUMIFS(StandardName[RankValueInTheRanking],StandardName[StandardizedName],THE_ARWU[[#This Row],[Nazwa uczelni]],StandardName[Ranking],$X$1)=0,$N$3,SUMIFS(StandardName[RankValueInTheRanking],StandardName[StandardizedName],THE_ARWU[[#This Row],[Nazwa uczelni]],StandardName[Ranking],$X$1))</f>
        <v>38</v>
      </c>
      <c r="Y276" s="10">
        <f>SUM(THE_ARWU[[#This Row],[THE_RV1000]:[Webometrics_RV1000]])</f>
        <v>444</v>
      </c>
      <c r="Z276">
        <v>95</v>
      </c>
      <c r="AA276">
        <v>61</v>
      </c>
      <c r="AB276">
        <v>0</v>
      </c>
      <c r="AC276">
        <v>38</v>
      </c>
    </row>
    <row r="277" spans="9:29" outlineLevel="1" x14ac:dyDescent="0.45">
      <c r="I277" t="s">
        <v>388</v>
      </c>
      <c r="J277">
        <v>75</v>
      </c>
      <c r="K277" t="s">
        <v>388</v>
      </c>
      <c r="L277">
        <v>75</v>
      </c>
      <c r="M277" t="s">
        <v>846</v>
      </c>
      <c r="O277" t="s">
        <v>829</v>
      </c>
      <c r="P277">
        <v>1</v>
      </c>
      <c r="Q277">
        <v>1</v>
      </c>
      <c r="R277">
        <v>0</v>
      </c>
      <c r="S277">
        <v>1</v>
      </c>
      <c r="T277">
        <v>3</v>
      </c>
      <c r="U277">
        <f>IF(SUMIFS(StandardName[RankValueInTheRanking],StandardName[StandardizedName],THE_ARWU[[#This Row],[Nazwa uczelni]],StandardName[Ranking],$U$1)=0,$N$3,SUMIFS(StandardName[RankValueInTheRanking],StandardName[StandardizedName],THE_ARWU[[#This Row],[Nazwa uczelni]],StandardName[Ranking],$U$1))</f>
        <v>64</v>
      </c>
      <c r="V277">
        <f>IF(SUMIFS(StandardName[RankValueInTheRanking],StandardName[StandardizedName],THE_ARWU[[#This Row],[Nazwa uczelni]],StandardName[Ranking],$V$1)=0,$N$3,SUMIFS(StandardName[RankValueInTheRanking],StandardName[StandardizedName],THE_ARWU[[#This Row],[Nazwa uczelni]],StandardName[Ranking],$V$1))</f>
        <v>57</v>
      </c>
      <c r="W277">
        <f>IF(SUMIFS(StandardName[RankValueInTheRanking],StandardName[StandardizedName],THE_ARWU[[#This Row],[Nazwa uczelni]],StandardName[Ranking],$W$1)=0,$N$3,SUMIFS(StandardName[RankValueInTheRanking],StandardName[StandardizedName],THE_ARWU[[#This Row],[Nazwa uczelni]],StandardName[Ranking],$W$1))</f>
        <v>250</v>
      </c>
      <c r="X277">
        <f>IF(SUMIFS(StandardName[RankValueInTheRanking],StandardName[StandardizedName],THE_ARWU[[#This Row],[Nazwa uczelni]],StandardName[Ranking],$X$1)=0,$N$3,SUMIFS(StandardName[RankValueInTheRanking],StandardName[StandardizedName],THE_ARWU[[#This Row],[Nazwa uczelni]],StandardName[Ranking],$X$1))</f>
        <v>76</v>
      </c>
      <c r="Y277" s="10">
        <f>SUM(THE_ARWU[[#This Row],[THE_RV1000]:[Webometrics_RV1000]])</f>
        <v>447</v>
      </c>
      <c r="Z277">
        <v>64</v>
      </c>
      <c r="AA277">
        <v>57</v>
      </c>
      <c r="AB277">
        <v>0</v>
      </c>
      <c r="AC277">
        <v>76</v>
      </c>
    </row>
    <row r="278" spans="9:29" outlineLevel="1" x14ac:dyDescent="0.45">
      <c r="I278" t="s">
        <v>392</v>
      </c>
      <c r="J278">
        <v>76</v>
      </c>
      <c r="K278" t="s">
        <v>392</v>
      </c>
      <c r="L278">
        <v>76</v>
      </c>
      <c r="M278" t="s">
        <v>846</v>
      </c>
      <c r="O278" t="s">
        <v>234</v>
      </c>
      <c r="P278">
        <v>1</v>
      </c>
      <c r="Q278">
        <v>1</v>
      </c>
      <c r="R278">
        <v>1</v>
      </c>
      <c r="S278">
        <v>0</v>
      </c>
      <c r="T278">
        <v>3</v>
      </c>
      <c r="U278">
        <f>IF(SUMIFS(StandardName[RankValueInTheRanking],StandardName[StandardizedName],THE_ARWU[[#This Row],[Nazwa uczelni]],StandardName[Ranking],$U$1)=0,$N$3,SUMIFS(StandardName[RankValueInTheRanking],StandardName[StandardizedName],THE_ARWU[[#This Row],[Nazwa uczelni]],StandardName[Ranking],$U$1))</f>
        <v>42</v>
      </c>
      <c r="V278">
        <f>IF(SUMIFS(StandardName[RankValueInTheRanking],StandardName[StandardizedName],THE_ARWU[[#This Row],[Nazwa uczelni]],StandardName[Ranking],$V$1)=0,$N$3,SUMIFS(StandardName[RankValueInTheRanking],StandardName[StandardizedName],THE_ARWU[[#This Row],[Nazwa uczelni]],StandardName[Ranking],$V$1))</f>
        <v>95</v>
      </c>
      <c r="W278">
        <f>IF(SUMIFS(StandardName[RankValueInTheRanking],StandardName[StandardizedName],THE_ARWU[[#This Row],[Nazwa uczelni]],StandardName[Ranking],$W$1)=0,$N$3,SUMIFS(StandardName[RankValueInTheRanking],StandardName[StandardizedName],THE_ARWU[[#This Row],[Nazwa uczelni]],StandardName[Ranking],$W$1))</f>
        <v>76</v>
      </c>
      <c r="X278">
        <f>IF(SUMIFS(StandardName[RankValueInTheRanking],StandardName[StandardizedName],THE_ARWU[[#This Row],[Nazwa uczelni]],StandardName[Ranking],$X$1)=0,$N$3,SUMIFS(StandardName[RankValueInTheRanking],StandardName[StandardizedName],THE_ARWU[[#This Row],[Nazwa uczelni]],StandardName[Ranking],$X$1))</f>
        <v>250</v>
      </c>
      <c r="Y278" s="10">
        <f>SUM(THE_ARWU[[#This Row],[THE_RV1000]:[Webometrics_RV1000]])</f>
        <v>463</v>
      </c>
      <c r="Z278">
        <v>42</v>
      </c>
      <c r="AA278">
        <v>95</v>
      </c>
      <c r="AB278">
        <v>76</v>
      </c>
      <c r="AC278">
        <v>0</v>
      </c>
    </row>
    <row r="279" spans="9:29" outlineLevel="1" x14ac:dyDescent="0.45">
      <c r="I279" t="s">
        <v>395</v>
      </c>
      <c r="J279">
        <v>77</v>
      </c>
      <c r="K279" t="s">
        <v>395</v>
      </c>
      <c r="L279">
        <v>77</v>
      </c>
      <c r="M279" t="s">
        <v>846</v>
      </c>
      <c r="O279" t="s">
        <v>392</v>
      </c>
      <c r="P279">
        <v>1</v>
      </c>
      <c r="Q279">
        <v>1</v>
      </c>
      <c r="R279">
        <v>1</v>
      </c>
      <c r="S279">
        <v>0</v>
      </c>
      <c r="T279">
        <v>3</v>
      </c>
      <c r="U279">
        <f>IF(SUMIFS(StandardName[RankValueInTheRanking],StandardName[StandardizedName],THE_ARWU[[#This Row],[Nazwa uczelni]],StandardName[Ranking],$U$1)=0,$N$3,SUMIFS(StandardName[RankValueInTheRanking],StandardName[StandardizedName],THE_ARWU[[#This Row],[Nazwa uczelni]],StandardName[Ranking],$U$1))</f>
        <v>76</v>
      </c>
      <c r="V279">
        <f>IF(SUMIFS(StandardName[RankValueInTheRanking],StandardName[StandardizedName],THE_ARWU[[#This Row],[Nazwa uczelni]],StandardName[Ranking],$V$1)=0,$N$3,SUMIFS(StandardName[RankValueInTheRanking],StandardName[StandardizedName],THE_ARWU[[#This Row],[Nazwa uczelni]],StandardName[Ranking],$V$1))</f>
        <v>81</v>
      </c>
      <c r="W279">
        <f>IF(SUMIFS(StandardName[RankValueInTheRanking],StandardName[StandardizedName],THE_ARWU[[#This Row],[Nazwa uczelni]],StandardName[Ranking],$W$1)=0,$N$3,SUMIFS(StandardName[RankValueInTheRanking],StandardName[StandardizedName],THE_ARWU[[#This Row],[Nazwa uczelni]],StandardName[Ranking],$W$1))</f>
        <v>61</v>
      </c>
      <c r="X279">
        <f>IF(SUMIFS(StandardName[RankValueInTheRanking],StandardName[StandardizedName],THE_ARWU[[#This Row],[Nazwa uczelni]],StandardName[Ranking],$X$1)=0,$N$3,SUMIFS(StandardName[RankValueInTheRanking],StandardName[StandardizedName],THE_ARWU[[#This Row],[Nazwa uczelni]],StandardName[Ranking],$X$1))</f>
        <v>250</v>
      </c>
      <c r="Y279" s="10">
        <f>SUM(THE_ARWU[[#This Row],[THE_RV1000]:[Webometrics_RV1000]])</f>
        <v>468</v>
      </c>
      <c r="Z279">
        <v>76</v>
      </c>
      <c r="AA279">
        <v>81</v>
      </c>
      <c r="AB279">
        <v>61</v>
      </c>
      <c r="AC279">
        <v>0</v>
      </c>
    </row>
    <row r="280" spans="9:29" outlineLevel="1" x14ac:dyDescent="0.45">
      <c r="I280" t="s">
        <v>399</v>
      </c>
      <c r="J280">
        <v>78</v>
      </c>
      <c r="K280" t="s">
        <v>732</v>
      </c>
      <c r="L280">
        <v>78</v>
      </c>
      <c r="M280" t="s">
        <v>846</v>
      </c>
      <c r="O280" t="s">
        <v>471</v>
      </c>
      <c r="P280">
        <v>1</v>
      </c>
      <c r="Q280">
        <v>1</v>
      </c>
      <c r="R280">
        <v>0</v>
      </c>
      <c r="S280">
        <v>1</v>
      </c>
      <c r="T280">
        <v>3</v>
      </c>
      <c r="U280">
        <f>IF(SUMIFS(StandardName[RankValueInTheRanking],StandardName[StandardizedName],THE_ARWU[[#This Row],[Nazwa uczelni]],StandardName[Ranking],$U$1)=0,$N$3,SUMIFS(StandardName[RankValueInTheRanking],StandardName[StandardizedName],THE_ARWU[[#This Row],[Nazwa uczelni]],StandardName[Ranking],$U$1))</f>
        <v>98</v>
      </c>
      <c r="V280">
        <f>IF(SUMIFS(StandardName[RankValueInTheRanking],StandardName[StandardizedName],THE_ARWU[[#This Row],[Nazwa uczelni]],StandardName[Ranking],$V$1)=0,$N$3,SUMIFS(StandardName[RankValueInTheRanking],StandardName[StandardizedName],THE_ARWU[[#This Row],[Nazwa uczelni]],StandardName[Ranking],$V$1))</f>
        <v>64</v>
      </c>
      <c r="W280">
        <f>IF(SUMIFS(StandardName[RankValueInTheRanking],StandardName[StandardizedName],THE_ARWU[[#This Row],[Nazwa uczelni]],StandardName[Ranking],$W$1)=0,$N$3,SUMIFS(StandardName[RankValueInTheRanking],StandardName[StandardizedName],THE_ARWU[[#This Row],[Nazwa uczelni]],StandardName[Ranking],$W$1))</f>
        <v>250</v>
      </c>
      <c r="X280">
        <f>IF(SUMIFS(StandardName[RankValueInTheRanking],StandardName[StandardizedName],THE_ARWU[[#This Row],[Nazwa uczelni]],StandardName[Ranking],$X$1)=0,$N$3,SUMIFS(StandardName[RankValueInTheRanking],StandardName[StandardizedName],THE_ARWU[[#This Row],[Nazwa uczelni]],StandardName[Ranking],$X$1))</f>
        <v>58</v>
      </c>
      <c r="Y280" s="10">
        <f>SUM(THE_ARWU[[#This Row],[THE_RV1000]:[Webometrics_RV1000]])</f>
        <v>470</v>
      </c>
      <c r="Z280">
        <v>98</v>
      </c>
      <c r="AA280">
        <v>64</v>
      </c>
      <c r="AB280">
        <v>0</v>
      </c>
      <c r="AC280">
        <v>58</v>
      </c>
    </row>
    <row r="281" spans="9:29" outlineLevel="1" x14ac:dyDescent="0.45">
      <c r="I281" t="s">
        <v>403</v>
      </c>
      <c r="J281">
        <v>79</v>
      </c>
      <c r="K281" t="s">
        <v>403</v>
      </c>
      <c r="L281">
        <v>79</v>
      </c>
      <c r="M281" t="s">
        <v>846</v>
      </c>
      <c r="O281" t="s">
        <v>388</v>
      </c>
      <c r="P281">
        <v>1</v>
      </c>
      <c r="Q281">
        <v>1</v>
      </c>
      <c r="R281">
        <v>0</v>
      </c>
      <c r="S281">
        <v>1</v>
      </c>
      <c r="T281">
        <v>3</v>
      </c>
      <c r="U281">
        <f>IF(SUMIFS(StandardName[RankValueInTheRanking],StandardName[StandardizedName],THE_ARWU[[#This Row],[Nazwa uczelni]],StandardName[Ranking],$U$1)=0,$N$3,SUMIFS(StandardName[RankValueInTheRanking],StandardName[StandardizedName],THE_ARWU[[#This Row],[Nazwa uczelni]],StandardName[Ranking],$U$1))</f>
        <v>75</v>
      </c>
      <c r="V281">
        <f>IF(SUMIFS(StandardName[RankValueInTheRanking],StandardName[StandardizedName],THE_ARWU[[#This Row],[Nazwa uczelni]],StandardName[Ranking],$V$1)=0,$N$3,SUMIFS(StandardName[RankValueInTheRanking],StandardName[StandardizedName],THE_ARWU[[#This Row],[Nazwa uczelni]],StandardName[Ranking],$V$1))</f>
        <v>66</v>
      </c>
      <c r="W281">
        <f>IF(SUMIFS(StandardName[RankValueInTheRanking],StandardName[StandardizedName],THE_ARWU[[#This Row],[Nazwa uczelni]],StandardName[Ranking],$W$1)=0,$N$3,SUMIFS(StandardName[RankValueInTheRanking],StandardName[StandardizedName],THE_ARWU[[#This Row],[Nazwa uczelni]],StandardName[Ranking],$W$1))</f>
        <v>250</v>
      </c>
      <c r="X281">
        <f>IF(SUMIFS(StandardName[RankValueInTheRanking],StandardName[StandardizedName],THE_ARWU[[#This Row],[Nazwa uczelni]],StandardName[Ranking],$X$1)=0,$N$3,SUMIFS(StandardName[RankValueInTheRanking],StandardName[StandardizedName],THE_ARWU[[#This Row],[Nazwa uczelni]],StandardName[Ranking],$X$1))</f>
        <v>84</v>
      </c>
      <c r="Y281" s="10">
        <f>SUM(THE_ARWU[[#This Row],[THE_RV1000]:[Webometrics_RV1000]])</f>
        <v>475</v>
      </c>
      <c r="Z281">
        <v>75</v>
      </c>
      <c r="AA281">
        <v>66</v>
      </c>
      <c r="AB281">
        <v>0</v>
      </c>
      <c r="AC281">
        <v>84</v>
      </c>
    </row>
    <row r="282" spans="9:29" outlineLevel="1" x14ac:dyDescent="0.45">
      <c r="I282" t="s">
        <v>408</v>
      </c>
      <c r="J282">
        <v>80</v>
      </c>
      <c r="K282" t="s">
        <v>408</v>
      </c>
      <c r="L282">
        <v>80</v>
      </c>
      <c r="M282" t="s">
        <v>846</v>
      </c>
      <c r="O282" t="s">
        <v>270</v>
      </c>
      <c r="P282">
        <v>1</v>
      </c>
      <c r="Q282">
        <v>1</v>
      </c>
      <c r="R282">
        <v>0</v>
      </c>
      <c r="S282">
        <v>0</v>
      </c>
      <c r="T282">
        <v>2</v>
      </c>
      <c r="U282">
        <f>IF(SUMIFS(StandardName[RankValueInTheRanking],StandardName[StandardizedName],THE_ARWU[[#This Row],[Nazwa uczelni]],StandardName[Ranking],$U$1)=0,$N$3,SUMIFS(StandardName[RankValueInTheRanking],StandardName[StandardizedName],THE_ARWU[[#This Row],[Nazwa uczelni]],StandardName[Ranking],$U$1))</f>
        <v>49</v>
      </c>
      <c r="V282">
        <f>IF(SUMIFS(StandardName[RankValueInTheRanking],StandardName[StandardizedName],THE_ARWU[[#This Row],[Nazwa uczelni]],StandardName[Ranking],$V$1)=0,$N$3,SUMIFS(StandardName[RankValueInTheRanking],StandardName[StandardizedName],THE_ARWU[[#This Row],[Nazwa uczelni]],StandardName[Ranking],$V$1))</f>
        <v>41</v>
      </c>
      <c r="W282">
        <f>IF(SUMIFS(StandardName[RankValueInTheRanking],StandardName[StandardizedName],THE_ARWU[[#This Row],[Nazwa uczelni]],StandardName[Ranking],$W$1)=0,$N$3,SUMIFS(StandardName[RankValueInTheRanking],StandardName[StandardizedName],THE_ARWU[[#This Row],[Nazwa uczelni]],StandardName[Ranking],$W$1))</f>
        <v>250</v>
      </c>
      <c r="X282">
        <f>IF(SUMIFS(StandardName[RankValueInTheRanking],StandardName[StandardizedName],THE_ARWU[[#This Row],[Nazwa uczelni]],StandardName[Ranking],$X$1)=0,$N$3,SUMIFS(StandardName[RankValueInTheRanking],StandardName[StandardizedName],THE_ARWU[[#This Row],[Nazwa uczelni]],StandardName[Ranking],$X$1))</f>
        <v>250</v>
      </c>
      <c r="Y282" s="10">
        <f>SUM(THE_ARWU[[#This Row],[THE_RV1000]:[Webometrics_RV1000]])</f>
        <v>590</v>
      </c>
      <c r="Z282">
        <v>49</v>
      </c>
      <c r="AA282">
        <v>41</v>
      </c>
      <c r="AB282">
        <v>0</v>
      </c>
      <c r="AC282">
        <v>0</v>
      </c>
    </row>
    <row r="283" spans="9:29" outlineLevel="1" x14ac:dyDescent="0.45">
      <c r="I283" t="s">
        <v>412</v>
      </c>
      <c r="J283">
        <v>81</v>
      </c>
      <c r="K283" t="s">
        <v>412</v>
      </c>
      <c r="L283">
        <v>81</v>
      </c>
      <c r="M283" t="s">
        <v>846</v>
      </c>
      <c r="O283" t="s">
        <v>443</v>
      </c>
      <c r="P283">
        <v>1</v>
      </c>
      <c r="Q283">
        <v>1</v>
      </c>
      <c r="R283">
        <v>0</v>
      </c>
      <c r="S283">
        <v>0</v>
      </c>
      <c r="T283">
        <v>2</v>
      </c>
      <c r="U283">
        <f>IF(SUMIFS(StandardName[RankValueInTheRanking],StandardName[StandardizedName],THE_ARWU[[#This Row],[Nazwa uczelni]],StandardName[Ranking],$U$1)=0,$N$3,SUMIFS(StandardName[RankValueInTheRanking],StandardName[StandardizedName],THE_ARWU[[#This Row],[Nazwa uczelni]],StandardName[Ranking],$U$1))</f>
        <v>89</v>
      </c>
      <c r="V283">
        <f>IF(SUMIFS(StandardName[RankValueInTheRanking],StandardName[StandardizedName],THE_ARWU[[#This Row],[Nazwa uczelni]],StandardName[Ranking],$V$1)=0,$N$3,SUMIFS(StandardName[RankValueInTheRanking],StandardName[StandardizedName],THE_ARWU[[#This Row],[Nazwa uczelni]],StandardName[Ranking],$V$1))</f>
        <v>76</v>
      </c>
      <c r="W283">
        <f>IF(SUMIFS(StandardName[RankValueInTheRanking],StandardName[StandardizedName],THE_ARWU[[#This Row],[Nazwa uczelni]],StandardName[Ranking],$W$1)=0,$N$3,SUMIFS(StandardName[RankValueInTheRanking],StandardName[StandardizedName],THE_ARWU[[#This Row],[Nazwa uczelni]],StandardName[Ranking],$W$1))</f>
        <v>250</v>
      </c>
      <c r="X283">
        <f>IF(SUMIFS(StandardName[RankValueInTheRanking],StandardName[StandardizedName],THE_ARWU[[#This Row],[Nazwa uczelni]],StandardName[Ranking],$X$1)=0,$N$3,SUMIFS(StandardName[RankValueInTheRanking],StandardName[StandardizedName],THE_ARWU[[#This Row],[Nazwa uczelni]],StandardName[Ranking],$X$1))</f>
        <v>250</v>
      </c>
      <c r="Y283" s="10">
        <f>SUM(THE_ARWU[[#This Row],[THE_RV1000]:[Webometrics_RV1000]])</f>
        <v>665</v>
      </c>
      <c r="Z283">
        <v>89</v>
      </c>
      <c r="AA283">
        <v>76</v>
      </c>
      <c r="AB283">
        <v>0</v>
      </c>
      <c r="AC283">
        <v>0</v>
      </c>
    </row>
    <row r="284" spans="9:29" outlineLevel="1" x14ac:dyDescent="0.45">
      <c r="I284" t="s">
        <v>416</v>
      </c>
      <c r="J284">
        <v>82</v>
      </c>
      <c r="K284" t="s">
        <v>416</v>
      </c>
      <c r="L284">
        <v>82</v>
      </c>
      <c r="M284" t="s">
        <v>846</v>
      </c>
      <c r="O284" t="s">
        <v>408</v>
      </c>
      <c r="P284">
        <v>1</v>
      </c>
      <c r="Q284">
        <v>1</v>
      </c>
      <c r="R284">
        <v>0</v>
      </c>
      <c r="S284">
        <v>0</v>
      </c>
      <c r="T284">
        <v>2</v>
      </c>
      <c r="U284">
        <f>IF(SUMIFS(StandardName[RankValueInTheRanking],StandardName[StandardizedName],THE_ARWU[[#This Row],[Nazwa uczelni]],StandardName[Ranking],$U$1)=0,$N$3,SUMIFS(StandardName[RankValueInTheRanking],StandardName[StandardizedName],THE_ARWU[[#This Row],[Nazwa uczelni]],StandardName[Ranking],$U$1))</f>
        <v>80</v>
      </c>
      <c r="V284">
        <f>IF(SUMIFS(StandardName[RankValueInTheRanking],StandardName[StandardizedName],THE_ARWU[[#This Row],[Nazwa uczelni]],StandardName[Ranking],$V$1)=0,$N$3,SUMIFS(StandardName[RankValueInTheRanking],StandardName[StandardizedName],THE_ARWU[[#This Row],[Nazwa uczelni]],StandardName[Ranking],$V$1))</f>
        <v>87</v>
      </c>
      <c r="W284">
        <f>IF(SUMIFS(StandardName[RankValueInTheRanking],StandardName[StandardizedName],THE_ARWU[[#This Row],[Nazwa uczelni]],StandardName[Ranking],$W$1)=0,$N$3,SUMIFS(StandardName[RankValueInTheRanking],StandardName[StandardizedName],THE_ARWU[[#This Row],[Nazwa uczelni]],StandardName[Ranking],$W$1))</f>
        <v>250</v>
      </c>
      <c r="X284">
        <f>IF(SUMIFS(StandardName[RankValueInTheRanking],StandardName[StandardizedName],THE_ARWU[[#This Row],[Nazwa uczelni]],StandardName[Ranking],$X$1)=0,$N$3,SUMIFS(StandardName[RankValueInTheRanking],StandardName[StandardizedName],THE_ARWU[[#This Row],[Nazwa uczelni]],StandardName[Ranking],$X$1))</f>
        <v>250</v>
      </c>
      <c r="Y284" s="10">
        <f>SUM(THE_ARWU[[#This Row],[THE_RV1000]:[Webometrics_RV1000]])</f>
        <v>667</v>
      </c>
      <c r="Z284">
        <v>80</v>
      </c>
      <c r="AA284">
        <v>87</v>
      </c>
      <c r="AB284">
        <v>0</v>
      </c>
      <c r="AC284">
        <v>0</v>
      </c>
    </row>
    <row r="285" spans="9:29" outlineLevel="1" x14ac:dyDescent="0.45">
      <c r="I285" t="s">
        <v>420</v>
      </c>
      <c r="J285">
        <v>83</v>
      </c>
      <c r="K285" t="s">
        <v>420</v>
      </c>
      <c r="L285">
        <v>82</v>
      </c>
      <c r="M285" t="s">
        <v>846</v>
      </c>
      <c r="O285" t="s">
        <v>428</v>
      </c>
      <c r="P285">
        <v>1</v>
      </c>
      <c r="Q285">
        <v>1</v>
      </c>
      <c r="R285">
        <v>0</v>
      </c>
      <c r="S285">
        <v>0</v>
      </c>
      <c r="T285">
        <v>2</v>
      </c>
      <c r="U285">
        <f>IF(SUMIFS(StandardName[RankValueInTheRanking],StandardName[StandardizedName],THE_ARWU[[#This Row],[Nazwa uczelni]],StandardName[Ranking],$U$1)=0,$N$3,SUMIFS(StandardName[RankValueInTheRanking],StandardName[StandardizedName],THE_ARWU[[#This Row],[Nazwa uczelni]],StandardName[Ranking],$U$1))</f>
        <v>85</v>
      </c>
      <c r="V285">
        <f>IF(SUMIFS(StandardName[RankValueInTheRanking],StandardName[StandardizedName],THE_ARWU[[#This Row],[Nazwa uczelni]],StandardName[Ranking],$V$1)=0,$N$3,SUMIFS(StandardName[RankValueInTheRanking],StandardName[StandardizedName],THE_ARWU[[#This Row],[Nazwa uczelni]],StandardName[Ranking],$V$1))</f>
        <v>90</v>
      </c>
      <c r="W285">
        <f>IF(SUMIFS(StandardName[RankValueInTheRanking],StandardName[StandardizedName],THE_ARWU[[#This Row],[Nazwa uczelni]],StandardName[Ranking],$W$1)=0,$N$3,SUMIFS(StandardName[RankValueInTheRanking],StandardName[StandardizedName],THE_ARWU[[#This Row],[Nazwa uczelni]],StandardName[Ranking],$W$1))</f>
        <v>250</v>
      </c>
      <c r="X285">
        <f>IF(SUMIFS(StandardName[RankValueInTheRanking],StandardName[StandardizedName],THE_ARWU[[#This Row],[Nazwa uczelni]],StandardName[Ranking],$X$1)=0,$N$3,SUMIFS(StandardName[RankValueInTheRanking],StandardName[StandardizedName],THE_ARWU[[#This Row],[Nazwa uczelni]],StandardName[Ranking],$X$1))</f>
        <v>250</v>
      </c>
      <c r="Y285" s="10">
        <f>SUM(THE_ARWU[[#This Row],[THE_RV1000]:[Webometrics_RV1000]])</f>
        <v>675</v>
      </c>
      <c r="Z285">
        <v>85</v>
      </c>
      <c r="AA285">
        <v>90</v>
      </c>
      <c r="AB285">
        <v>0</v>
      </c>
      <c r="AC285">
        <v>0</v>
      </c>
    </row>
    <row r="286" spans="9:29" x14ac:dyDescent="0.45">
      <c r="I286" t="s">
        <v>425</v>
      </c>
      <c r="J286">
        <v>84</v>
      </c>
      <c r="K286" t="s">
        <v>425</v>
      </c>
      <c r="L286">
        <v>82</v>
      </c>
      <c r="M286" t="s">
        <v>846</v>
      </c>
    </row>
    <row r="287" spans="9:29" x14ac:dyDescent="0.45">
      <c r="I287" t="s">
        <v>428</v>
      </c>
      <c r="J287">
        <v>85</v>
      </c>
      <c r="K287" t="s">
        <v>428</v>
      </c>
      <c r="L287">
        <v>85</v>
      </c>
      <c r="M287" t="s">
        <v>846</v>
      </c>
      <c r="O287" t="s">
        <v>882</v>
      </c>
    </row>
    <row r="288" spans="9:29" x14ac:dyDescent="0.45">
      <c r="I288" t="s">
        <v>434</v>
      </c>
      <c r="J288">
        <v>86</v>
      </c>
      <c r="K288" t="s">
        <v>434</v>
      </c>
      <c r="L288">
        <v>86</v>
      </c>
      <c r="M288" t="s">
        <v>846</v>
      </c>
      <c r="O288" s="7" t="s">
        <v>855</v>
      </c>
      <c r="P288" s="7" t="s">
        <v>846</v>
      </c>
      <c r="Q288" s="7" t="s">
        <v>848</v>
      </c>
      <c r="R288" s="7" t="s">
        <v>849</v>
      </c>
      <c r="S288" s="7" t="s">
        <v>850</v>
      </c>
      <c r="T288" s="7" t="s">
        <v>861</v>
      </c>
      <c r="U288" s="7" t="s">
        <v>875</v>
      </c>
      <c r="V288" s="7" t="s">
        <v>876</v>
      </c>
      <c r="W288" s="7" t="s">
        <v>877</v>
      </c>
      <c r="X288" s="7" t="s">
        <v>878</v>
      </c>
      <c r="Y288" s="7" t="s">
        <v>874</v>
      </c>
      <c r="Z288" s="7" t="s">
        <v>870</v>
      </c>
      <c r="AA288" s="7" t="s">
        <v>871</v>
      </c>
      <c r="AB288" s="7" t="s">
        <v>872</v>
      </c>
      <c r="AC288" s="7" t="s">
        <v>873</v>
      </c>
    </row>
    <row r="289" spans="9:29" outlineLevel="1" x14ac:dyDescent="0.45">
      <c r="I289" t="s">
        <v>438</v>
      </c>
      <c r="J289">
        <v>87</v>
      </c>
      <c r="K289" t="s">
        <v>438</v>
      </c>
      <c r="L289">
        <v>86</v>
      </c>
      <c r="M289" t="s">
        <v>846</v>
      </c>
      <c r="O289" s="1" t="s">
        <v>8</v>
      </c>
      <c r="P289" s="1">
        <v>1</v>
      </c>
      <c r="Q289" s="1">
        <v>1</v>
      </c>
      <c r="R289" s="1">
        <v>1</v>
      </c>
      <c r="S289" s="1">
        <v>1</v>
      </c>
      <c r="T289" s="1">
        <v>4</v>
      </c>
      <c r="U289" s="2">
        <f>IF(SUMIFS(StandardName[RankValueInTheRanking],StandardName[StandardizedName],THE_QS[[#This Row],[Nazwa uczelni]],StandardName[Ranking],$U$1)=0,$N$3,SUMIFS(StandardName[RankValueInTheRanking],StandardName[StandardizedName],THE_QS[[#This Row],[Nazwa uczelni]],StandardName[Ranking],$U$1))</f>
        <v>2</v>
      </c>
      <c r="V289" s="2">
        <f>IF(SUMIFS(StandardName[RankValueInTheRanking],StandardName[StandardizedName],THE_QS[[#This Row],[Nazwa uczelni]],StandardName[Ranking],$V$1)=0,$N$3,SUMIFS(StandardName[RankValueInTheRanking],StandardName[StandardizedName],THE_QS[[#This Row],[Nazwa uczelni]],StandardName[Ranking],$V$1))</f>
        <v>1</v>
      </c>
      <c r="W289" s="2">
        <f>IF(SUMIFS(StandardName[RankValueInTheRanking],StandardName[StandardizedName],THE_QS[[#This Row],[Nazwa uczelni]],StandardName[Ranking],$W$1)=0,$N$3,SUMIFS(StandardName[RankValueInTheRanking],StandardName[StandardizedName],THE_QS[[#This Row],[Nazwa uczelni]],StandardName[Ranking],$W$1))</f>
        <v>5</v>
      </c>
      <c r="X289" s="2">
        <f>IF(SUMIFS(StandardName[RankValueInTheRanking],StandardName[StandardizedName],THE_QS[[#This Row],[Nazwa uczelni]],StandardName[Ranking],$X$1)=0,$N$3,SUMIFS(StandardName[RankValueInTheRanking],StandardName[StandardizedName],THE_QS[[#This Row],[Nazwa uczelni]],StandardName[Ranking],$X$1))</f>
        <v>1</v>
      </c>
      <c r="Y289" s="2">
        <f>SUM(THE_QS[[#This Row],[THE_RV1000]:[Webometrics_RV1000]])</f>
        <v>9</v>
      </c>
      <c r="Z289" s="1">
        <v>2</v>
      </c>
      <c r="AA289" s="1">
        <v>1</v>
      </c>
      <c r="AB289" s="1">
        <v>5</v>
      </c>
      <c r="AC289" s="1">
        <v>1</v>
      </c>
    </row>
    <row r="290" spans="9:29" outlineLevel="1" x14ac:dyDescent="0.45">
      <c r="I290" t="s">
        <v>440</v>
      </c>
      <c r="J290">
        <v>88</v>
      </c>
      <c r="K290" t="s">
        <v>440</v>
      </c>
      <c r="L290">
        <v>88</v>
      </c>
      <c r="M290" t="s">
        <v>846</v>
      </c>
      <c r="O290" s="2" t="s">
        <v>21</v>
      </c>
      <c r="P290" s="2">
        <v>1</v>
      </c>
      <c r="Q290" s="2">
        <v>1</v>
      </c>
      <c r="R290" s="2">
        <v>1</v>
      </c>
      <c r="S290" s="2">
        <v>1</v>
      </c>
      <c r="T290" s="2">
        <v>4</v>
      </c>
      <c r="U290" s="2">
        <f>IF(SUMIFS(StandardName[RankValueInTheRanking],StandardName[StandardizedName],THE_QS[[#This Row],[Nazwa uczelni]],StandardName[Ranking],$U$1)=0,$N$3,SUMIFS(StandardName[RankValueInTheRanking],StandardName[StandardizedName],THE_QS[[#This Row],[Nazwa uczelni]],StandardName[Ranking],$U$1))</f>
        <v>3</v>
      </c>
      <c r="V290" s="2">
        <f>IF(SUMIFS(StandardName[RankValueInTheRanking],StandardName[StandardizedName],THE_QS[[#This Row],[Nazwa uczelni]],StandardName[Ranking],$V$1)=0,$N$3,SUMIFS(StandardName[RankValueInTheRanking],StandardName[StandardizedName],THE_QS[[#This Row],[Nazwa uczelni]],StandardName[Ranking],$V$1))</f>
        <v>2</v>
      </c>
      <c r="W290" s="2">
        <f>IF(SUMIFS(StandardName[RankValueInTheRanking],StandardName[StandardizedName],THE_QS[[#This Row],[Nazwa uczelni]],StandardName[Ranking],$W$1)=0,$N$3,SUMIFS(StandardName[RankValueInTheRanking],StandardName[StandardizedName],THE_QS[[#This Row],[Nazwa uczelni]],StandardName[Ranking],$W$1))</f>
        <v>3</v>
      </c>
      <c r="X290" s="2">
        <f>IF(SUMIFS(StandardName[RankValueInTheRanking],StandardName[StandardizedName],THE_QS[[#This Row],[Nazwa uczelni]],StandardName[Ranking],$X$1)=0,$N$3,SUMIFS(StandardName[RankValueInTheRanking],StandardName[StandardizedName],THE_QS[[#This Row],[Nazwa uczelni]],StandardName[Ranking],$X$1))</f>
        <v>2</v>
      </c>
      <c r="Y290" s="2">
        <f>SUM(THE_QS[[#This Row],[THE_RV1000]:[Webometrics_RV1000]])</f>
        <v>10</v>
      </c>
      <c r="Z290" s="2">
        <v>3</v>
      </c>
      <c r="AA290" s="2">
        <v>2</v>
      </c>
      <c r="AB290" s="2">
        <v>3</v>
      </c>
      <c r="AC290" s="2">
        <v>2</v>
      </c>
    </row>
    <row r="291" spans="9:29" outlineLevel="1" x14ac:dyDescent="0.45">
      <c r="I291" t="s">
        <v>443</v>
      </c>
      <c r="J291">
        <v>89</v>
      </c>
      <c r="K291" t="s">
        <v>443</v>
      </c>
      <c r="L291">
        <v>89</v>
      </c>
      <c r="M291" t="s">
        <v>846</v>
      </c>
      <c r="O291" s="1" t="s">
        <v>27</v>
      </c>
      <c r="P291" s="1">
        <v>1</v>
      </c>
      <c r="Q291" s="1">
        <v>1</v>
      </c>
      <c r="R291" s="1">
        <v>1</v>
      </c>
      <c r="S291" s="1">
        <v>1</v>
      </c>
      <c r="T291" s="1">
        <v>4</v>
      </c>
      <c r="U291" s="2">
        <f>IF(SUMIFS(StandardName[RankValueInTheRanking],StandardName[StandardizedName],THE_QS[[#This Row],[Nazwa uczelni]],StandardName[Ranking],$U$1)=0,$N$3,SUMIFS(StandardName[RankValueInTheRanking],StandardName[StandardizedName],THE_QS[[#This Row],[Nazwa uczelni]],StandardName[Ranking],$U$1))</f>
        <v>5</v>
      </c>
      <c r="V291" s="2">
        <f>IF(SUMIFS(StandardName[RankValueInTheRanking],StandardName[StandardizedName],THE_QS[[#This Row],[Nazwa uczelni]],StandardName[Ranking],$V$1)=0,$N$3,SUMIFS(StandardName[RankValueInTheRanking],StandardName[StandardizedName],THE_QS[[#This Row],[Nazwa uczelni]],StandardName[Ranking],$V$1))</f>
        <v>3</v>
      </c>
      <c r="W291" s="2">
        <f>IF(SUMIFS(StandardName[RankValueInTheRanking],StandardName[StandardizedName],THE_QS[[#This Row],[Nazwa uczelni]],StandardName[Ranking],$W$1)=0,$N$3,SUMIFS(StandardName[RankValueInTheRanking],StandardName[StandardizedName],THE_QS[[#This Row],[Nazwa uczelni]],StandardName[Ranking],$W$1))</f>
        <v>1</v>
      </c>
      <c r="X291" s="2">
        <f>IF(SUMIFS(StandardName[RankValueInTheRanking],StandardName[StandardizedName],THE_QS[[#This Row],[Nazwa uczelni]],StandardName[Ranking],$X$1)=0,$N$3,SUMIFS(StandardName[RankValueInTheRanking],StandardName[StandardizedName],THE_QS[[#This Row],[Nazwa uczelni]],StandardName[Ranking],$X$1))</f>
        <v>3</v>
      </c>
      <c r="Y291" s="2">
        <f>SUM(THE_QS[[#This Row],[THE_RV1000]:[Webometrics_RV1000]])</f>
        <v>12</v>
      </c>
      <c r="Z291" s="1">
        <v>5</v>
      </c>
      <c r="AA291" s="1">
        <v>3</v>
      </c>
      <c r="AB291" s="1">
        <v>1</v>
      </c>
      <c r="AC291" s="1">
        <v>3</v>
      </c>
    </row>
    <row r="292" spans="9:29" outlineLevel="1" x14ac:dyDescent="0.45">
      <c r="I292" t="s">
        <v>446</v>
      </c>
      <c r="J292">
        <v>90</v>
      </c>
      <c r="K292" t="s">
        <v>446</v>
      </c>
      <c r="L292">
        <v>90</v>
      </c>
      <c r="M292" t="s">
        <v>846</v>
      </c>
      <c r="O292" s="2" t="s">
        <v>0</v>
      </c>
      <c r="P292" s="2">
        <v>1</v>
      </c>
      <c r="Q292" s="2">
        <v>1</v>
      </c>
      <c r="R292" s="2">
        <v>1</v>
      </c>
      <c r="S292" s="2">
        <v>1</v>
      </c>
      <c r="T292" s="2">
        <v>4</v>
      </c>
      <c r="U292" s="2">
        <f>IF(SUMIFS(StandardName[RankValueInTheRanking],StandardName[StandardizedName],THE_QS[[#This Row],[Nazwa uczelni]],StandardName[Ranking],$U$1)=0,$N$3,SUMIFS(StandardName[RankValueInTheRanking],StandardName[StandardizedName],THE_QS[[#This Row],[Nazwa uczelni]],StandardName[Ranking],$U$1))</f>
        <v>1</v>
      </c>
      <c r="V292" s="2">
        <f>IF(SUMIFS(StandardName[RankValueInTheRanking],StandardName[StandardizedName],THE_QS[[#This Row],[Nazwa uczelni]],StandardName[Ranking],$V$1)=0,$N$3,SUMIFS(StandardName[RankValueInTheRanking],StandardName[StandardizedName],THE_QS[[#This Row],[Nazwa uczelni]],StandardName[Ranking],$V$1))</f>
        <v>7</v>
      </c>
      <c r="W292" s="2">
        <f>IF(SUMIFS(StandardName[RankValueInTheRanking],StandardName[StandardizedName],THE_QS[[#This Row],[Nazwa uczelni]],StandardName[Ranking],$W$1)=0,$N$3,SUMIFS(StandardName[RankValueInTheRanking],StandardName[StandardizedName],THE_QS[[#This Row],[Nazwa uczelni]],StandardName[Ranking],$W$1))</f>
        <v>4</v>
      </c>
      <c r="X292" s="2">
        <f>IF(SUMIFS(StandardName[RankValueInTheRanking],StandardName[StandardizedName],THE_QS[[#This Row],[Nazwa uczelni]],StandardName[Ranking],$X$1)=0,$N$3,SUMIFS(StandardName[RankValueInTheRanking],StandardName[StandardizedName],THE_QS[[#This Row],[Nazwa uczelni]],StandardName[Ranking],$X$1))</f>
        <v>5</v>
      </c>
      <c r="Y292" s="2">
        <f>SUM(THE_QS[[#This Row],[THE_RV1000]:[Webometrics_RV1000]])</f>
        <v>17</v>
      </c>
      <c r="Z292" s="2">
        <v>1</v>
      </c>
      <c r="AA292" s="2">
        <v>7</v>
      </c>
      <c r="AB292" s="2">
        <v>4</v>
      </c>
      <c r="AC292" s="2">
        <v>5</v>
      </c>
    </row>
    <row r="293" spans="9:29" outlineLevel="1" x14ac:dyDescent="0.45">
      <c r="I293" t="s">
        <v>451</v>
      </c>
      <c r="J293">
        <v>91</v>
      </c>
      <c r="K293" t="s">
        <v>451</v>
      </c>
      <c r="L293">
        <v>91</v>
      </c>
      <c r="M293" t="s">
        <v>846</v>
      </c>
      <c r="O293" s="1" t="s">
        <v>15</v>
      </c>
      <c r="P293" s="1">
        <v>1</v>
      </c>
      <c r="Q293" s="1">
        <v>1</v>
      </c>
      <c r="R293" s="1">
        <v>1</v>
      </c>
      <c r="S293" s="1">
        <v>1</v>
      </c>
      <c r="T293" s="1">
        <v>4</v>
      </c>
      <c r="U293" s="2">
        <f>IF(SUMIFS(StandardName[RankValueInTheRanking],StandardName[StandardizedName],THE_QS[[#This Row],[Nazwa uczelni]],StandardName[Ranking],$U$1)=0,$N$3,SUMIFS(StandardName[RankValueInTheRanking],StandardName[StandardizedName],THE_QS[[#This Row],[Nazwa uczelni]],StandardName[Ranking],$U$1))</f>
        <v>3</v>
      </c>
      <c r="V293" s="2">
        <f>IF(SUMIFS(StandardName[RankValueInTheRanking],StandardName[StandardizedName],THE_QS[[#This Row],[Nazwa uczelni]],StandardName[Ranking],$V$1)=0,$N$3,SUMIFS(StandardName[RankValueInTheRanking],StandardName[StandardizedName],THE_QS[[#This Row],[Nazwa uczelni]],StandardName[Ranking],$V$1))</f>
        <v>4</v>
      </c>
      <c r="W293" s="2">
        <f>IF(SUMIFS(StandardName[RankValueInTheRanking],StandardName[StandardizedName],THE_QS[[#This Row],[Nazwa uczelni]],StandardName[Ranking],$W$1)=0,$N$3,SUMIFS(StandardName[RankValueInTheRanking],StandardName[StandardizedName],THE_QS[[#This Row],[Nazwa uczelni]],StandardName[Ranking],$W$1))</f>
        <v>2</v>
      </c>
      <c r="X293" s="2">
        <f>IF(SUMIFS(StandardName[RankValueInTheRanking],StandardName[StandardizedName],THE_QS[[#This Row],[Nazwa uczelni]],StandardName[Ranking],$X$1)=0,$N$3,SUMIFS(StandardName[RankValueInTheRanking],StandardName[StandardizedName],THE_QS[[#This Row],[Nazwa uczelni]],StandardName[Ranking],$X$1))</f>
        <v>12</v>
      </c>
      <c r="Y293" s="2">
        <f>SUM(THE_QS[[#This Row],[THE_RV1000]:[Webometrics_RV1000]])</f>
        <v>21</v>
      </c>
      <c r="Z293" s="1">
        <v>3</v>
      </c>
      <c r="AA293" s="1">
        <v>4</v>
      </c>
      <c r="AB293" s="1">
        <v>2</v>
      </c>
      <c r="AC293" s="1">
        <v>12</v>
      </c>
    </row>
    <row r="294" spans="9:29" outlineLevel="1" x14ac:dyDescent="0.45">
      <c r="I294" t="s">
        <v>454</v>
      </c>
      <c r="J294">
        <v>92</v>
      </c>
      <c r="K294" t="s">
        <v>689</v>
      </c>
      <c r="L294">
        <v>91</v>
      </c>
      <c r="M294" t="s">
        <v>846</v>
      </c>
      <c r="O294" s="2" t="s">
        <v>792</v>
      </c>
      <c r="P294" s="2">
        <v>1</v>
      </c>
      <c r="Q294" s="2">
        <v>1</v>
      </c>
      <c r="R294" s="2">
        <v>1</v>
      </c>
      <c r="S294" s="2">
        <v>1</v>
      </c>
      <c r="T294" s="2">
        <v>4</v>
      </c>
      <c r="U294" s="2">
        <f>IF(SUMIFS(StandardName[RankValueInTheRanking],StandardName[StandardizedName],THE_QS[[#This Row],[Nazwa uczelni]],StandardName[Ranking],$U$1)=0,$N$3,SUMIFS(StandardName[RankValueInTheRanking],StandardName[StandardizedName],THE_QS[[#This Row],[Nazwa uczelni]],StandardName[Ranking],$U$1))</f>
        <v>8</v>
      </c>
      <c r="V294" s="2">
        <f>IF(SUMIFS(StandardName[RankValueInTheRanking],StandardName[StandardizedName],THE_QS[[#This Row],[Nazwa uczelni]],StandardName[Ranking],$V$1)=0,$N$3,SUMIFS(StandardName[RankValueInTheRanking],StandardName[StandardizedName],THE_QS[[#This Row],[Nazwa uczelni]],StandardName[Ranking],$V$1))</f>
        <v>5</v>
      </c>
      <c r="W294" s="2">
        <f>IF(SUMIFS(StandardName[RankValueInTheRanking],StandardName[StandardizedName],THE_QS[[#This Row],[Nazwa uczelni]],StandardName[Ranking],$W$1)=0,$N$3,SUMIFS(StandardName[RankValueInTheRanking],StandardName[StandardizedName],THE_QS[[#This Row],[Nazwa uczelni]],StandardName[Ranking],$W$1))</f>
        <v>27</v>
      </c>
      <c r="X294" s="2">
        <f>IF(SUMIFS(StandardName[RankValueInTheRanking],StandardName[StandardizedName],THE_QS[[#This Row],[Nazwa uczelni]],StandardName[Ranking],$X$1)=0,$N$3,SUMIFS(StandardName[RankValueInTheRanking],StandardName[StandardizedName],THE_QS[[#This Row],[Nazwa uczelni]],StandardName[Ranking],$X$1))</f>
        <v>4</v>
      </c>
      <c r="Y294" s="2">
        <f>SUM(THE_QS[[#This Row],[THE_RV1000]:[Webometrics_RV1000]])</f>
        <v>44</v>
      </c>
      <c r="Z294" s="2">
        <v>8</v>
      </c>
      <c r="AA294" s="2">
        <v>5</v>
      </c>
      <c r="AB294" s="2">
        <v>27</v>
      </c>
      <c r="AC294" s="2">
        <v>4</v>
      </c>
    </row>
    <row r="295" spans="9:29" outlineLevel="1" x14ac:dyDescent="0.45">
      <c r="I295" t="s">
        <v>456</v>
      </c>
      <c r="J295">
        <v>93</v>
      </c>
      <c r="K295" t="s">
        <v>456</v>
      </c>
      <c r="L295">
        <v>93</v>
      </c>
      <c r="M295" t="s">
        <v>846</v>
      </c>
      <c r="O295" s="1" t="s">
        <v>61</v>
      </c>
      <c r="P295" s="1">
        <v>1</v>
      </c>
      <c r="Q295" s="1">
        <v>1</v>
      </c>
      <c r="R295" s="1">
        <v>1</v>
      </c>
      <c r="S295" s="1">
        <v>1</v>
      </c>
      <c r="T295" s="1">
        <v>4</v>
      </c>
      <c r="U295" s="2">
        <f>IF(SUMIFS(StandardName[RankValueInTheRanking],StandardName[StandardizedName],THE_QS[[#This Row],[Nazwa uczelni]],StandardName[Ranking],$U$1)=0,$N$3,SUMIFS(StandardName[RankValueInTheRanking],StandardName[StandardizedName],THE_QS[[#This Row],[Nazwa uczelni]],StandardName[Ranking],$U$1))</f>
        <v>11</v>
      </c>
      <c r="V295" s="2">
        <f>IF(SUMIFS(StandardName[RankValueInTheRanking],StandardName[StandardizedName],THE_QS[[#This Row],[Nazwa uczelni]],StandardName[Ranking],$V$1)=0,$N$3,SUMIFS(StandardName[RankValueInTheRanking],StandardName[StandardizedName],THE_QS[[#This Row],[Nazwa uczelni]],StandardName[Ranking],$V$1))</f>
        <v>8</v>
      </c>
      <c r="W295" s="2">
        <f>IF(SUMIFS(StandardName[RankValueInTheRanking],StandardName[StandardizedName],THE_QS[[#This Row],[Nazwa uczelni]],StandardName[Ranking],$W$1)=0,$N$3,SUMIFS(StandardName[RankValueInTheRanking],StandardName[StandardizedName],THE_QS[[#This Row],[Nazwa uczelni]],StandardName[Ranking],$W$1))</f>
        <v>22</v>
      </c>
      <c r="X295" s="2">
        <f>IF(SUMIFS(StandardName[RankValueInTheRanking],StandardName[StandardizedName],THE_QS[[#This Row],[Nazwa uczelni]],StandardName[Ranking],$X$1)=0,$N$3,SUMIFS(StandardName[RankValueInTheRanking],StandardName[StandardizedName],THE_QS[[#This Row],[Nazwa uczelni]],StandardName[Ranking],$X$1))</f>
        <v>9</v>
      </c>
      <c r="Y295" s="2">
        <f>SUM(THE_QS[[#This Row],[THE_RV1000]:[Webometrics_RV1000]])</f>
        <v>50</v>
      </c>
      <c r="Z295" s="1">
        <v>11</v>
      </c>
      <c r="AA295" s="1">
        <v>8</v>
      </c>
      <c r="AB295" s="1">
        <v>22</v>
      </c>
      <c r="AC295" s="1">
        <v>9</v>
      </c>
    </row>
    <row r="296" spans="9:29" outlineLevel="1" x14ac:dyDescent="0.45">
      <c r="I296" t="s">
        <v>460</v>
      </c>
      <c r="J296">
        <v>94</v>
      </c>
      <c r="K296" t="s">
        <v>460</v>
      </c>
      <c r="L296">
        <v>94</v>
      </c>
      <c r="M296" t="s">
        <v>846</v>
      </c>
      <c r="O296" s="2" t="s">
        <v>48</v>
      </c>
      <c r="P296" s="2">
        <v>1</v>
      </c>
      <c r="Q296" s="2">
        <v>1</v>
      </c>
      <c r="R296" s="2">
        <v>1</v>
      </c>
      <c r="S296" s="2">
        <v>1</v>
      </c>
      <c r="T296" s="2">
        <v>4</v>
      </c>
      <c r="U296" s="2">
        <f>IF(SUMIFS(StandardName[RankValueInTheRanking],StandardName[StandardizedName],THE_QS[[#This Row],[Nazwa uczelni]],StandardName[Ranking],$U$1)=0,$N$3,SUMIFS(StandardName[RankValueInTheRanking],StandardName[StandardizedName],THE_QS[[#This Row],[Nazwa uczelni]],StandardName[Ranking],$U$1))</f>
        <v>9</v>
      </c>
      <c r="V296" s="2">
        <f>IF(SUMIFS(StandardName[RankValueInTheRanking],StandardName[StandardizedName],THE_QS[[#This Row],[Nazwa uczelni]],StandardName[Ranking],$V$1)=0,$N$3,SUMIFS(StandardName[RankValueInTheRanking],StandardName[StandardizedName],THE_QS[[#This Row],[Nazwa uczelni]],StandardName[Ranking],$V$1))</f>
        <v>11</v>
      </c>
      <c r="W296" s="2">
        <f>IF(SUMIFS(StandardName[RankValueInTheRanking],StandardName[StandardizedName],THE_QS[[#This Row],[Nazwa uczelni]],StandardName[Ranking],$W$1)=0,$N$3,SUMIFS(StandardName[RankValueInTheRanking],StandardName[StandardizedName],THE_QS[[#This Row],[Nazwa uczelni]],StandardName[Ranking],$W$1))</f>
        <v>18</v>
      </c>
      <c r="X296" s="2">
        <f>IF(SUMIFS(StandardName[RankValueInTheRanking],StandardName[StandardizedName],THE_QS[[#This Row],[Nazwa uczelni]],StandardName[Ranking],$X$1)=0,$N$3,SUMIFS(StandardName[RankValueInTheRanking],StandardName[StandardizedName],THE_QS[[#This Row],[Nazwa uczelni]],StandardName[Ranking],$X$1))</f>
        <v>14</v>
      </c>
      <c r="Y296" s="2">
        <f>SUM(THE_QS[[#This Row],[THE_RV1000]:[Webometrics_RV1000]])</f>
        <v>52</v>
      </c>
      <c r="Z296" s="2">
        <v>9</v>
      </c>
      <c r="AA296" s="2">
        <v>11</v>
      </c>
      <c r="AB296" s="2">
        <v>18</v>
      </c>
      <c r="AC296" s="2">
        <v>14</v>
      </c>
    </row>
    <row r="297" spans="9:29" outlineLevel="1" x14ac:dyDescent="0.45">
      <c r="I297" t="s">
        <v>463</v>
      </c>
      <c r="J297">
        <v>95</v>
      </c>
      <c r="K297" t="s">
        <v>808</v>
      </c>
      <c r="L297">
        <v>95</v>
      </c>
      <c r="M297" t="s">
        <v>846</v>
      </c>
      <c r="O297" s="1" t="s">
        <v>79</v>
      </c>
      <c r="P297" s="1">
        <v>1</v>
      </c>
      <c r="Q297" s="1">
        <v>1</v>
      </c>
      <c r="R297" s="1">
        <v>1</v>
      </c>
      <c r="S297" s="1">
        <v>1</v>
      </c>
      <c r="T297" s="1">
        <v>4</v>
      </c>
      <c r="U297" s="2">
        <f>IF(SUMIFS(StandardName[RankValueInTheRanking],StandardName[StandardizedName],THE_QS[[#This Row],[Nazwa uczelni]],StandardName[Ranking],$U$1)=0,$N$3,SUMIFS(StandardName[RankValueInTheRanking],StandardName[StandardizedName],THE_QS[[#This Row],[Nazwa uczelni]],StandardName[Ranking],$U$1))</f>
        <v>14</v>
      </c>
      <c r="V297" s="2">
        <f>IF(SUMIFS(StandardName[RankValueInTheRanking],StandardName[StandardizedName],THE_QS[[#This Row],[Nazwa uczelni]],StandardName[Ranking],$V$1)=0,$N$3,SUMIFS(StandardName[RankValueInTheRanking],StandardName[StandardizedName],THE_QS[[#This Row],[Nazwa uczelni]],StandardName[Ranking],$V$1))</f>
        <v>15</v>
      </c>
      <c r="W297" s="2">
        <f>IF(SUMIFS(StandardName[RankValueInTheRanking],StandardName[StandardizedName],THE_QS[[#This Row],[Nazwa uczelni]],StandardName[Ranking],$W$1)=0,$N$3,SUMIFS(StandardName[RankValueInTheRanking],StandardName[StandardizedName],THE_QS[[#This Row],[Nazwa uczelni]],StandardName[Ranking],$W$1))</f>
        <v>13</v>
      </c>
      <c r="X297" s="2">
        <f>IF(SUMIFS(StandardName[RankValueInTheRanking],StandardName[StandardizedName],THE_QS[[#This Row],[Nazwa uczelni]],StandardName[Ranking],$X$1)=0,$N$3,SUMIFS(StandardName[RankValueInTheRanking],StandardName[StandardizedName],THE_QS[[#This Row],[Nazwa uczelni]],StandardName[Ranking],$X$1))</f>
        <v>11</v>
      </c>
      <c r="Y297" s="2">
        <f>SUM(THE_QS[[#This Row],[THE_RV1000]:[Webometrics_RV1000]])</f>
        <v>53</v>
      </c>
      <c r="Z297" s="1">
        <v>14</v>
      </c>
      <c r="AA297" s="1">
        <v>15</v>
      </c>
      <c r="AB297" s="1">
        <v>13</v>
      </c>
      <c r="AC297" s="1">
        <v>11</v>
      </c>
    </row>
    <row r="298" spans="9:29" outlineLevel="1" x14ac:dyDescent="0.45">
      <c r="I298" t="s">
        <v>466</v>
      </c>
      <c r="J298">
        <v>96</v>
      </c>
      <c r="K298" t="s">
        <v>466</v>
      </c>
      <c r="L298">
        <v>95</v>
      </c>
      <c r="M298" t="s">
        <v>846</v>
      </c>
      <c r="O298" s="2" t="s">
        <v>36</v>
      </c>
      <c r="P298" s="2">
        <v>1</v>
      </c>
      <c r="Q298" s="2">
        <v>1</v>
      </c>
      <c r="R298" s="2">
        <v>1</v>
      </c>
      <c r="S298" s="2">
        <v>1</v>
      </c>
      <c r="T298" s="2">
        <v>4</v>
      </c>
      <c r="U298" s="2">
        <f>IF(SUMIFS(StandardName[RankValueInTheRanking],StandardName[StandardizedName],THE_QS[[#This Row],[Nazwa uczelni]],StandardName[Ranking],$U$1)=0,$N$3,SUMIFS(StandardName[RankValueInTheRanking],StandardName[StandardizedName],THE_QS[[#This Row],[Nazwa uczelni]],StandardName[Ranking],$U$1))</f>
        <v>7</v>
      </c>
      <c r="V298" s="2">
        <f>IF(SUMIFS(StandardName[RankValueInTheRanking],StandardName[StandardizedName],THE_QS[[#This Row],[Nazwa uczelni]],StandardName[Ranking],$V$1)=0,$N$3,SUMIFS(StandardName[RankValueInTheRanking],StandardName[StandardizedName],THE_QS[[#This Row],[Nazwa uczelni]],StandardName[Ranking],$V$1))</f>
        <v>6</v>
      </c>
      <c r="W298" s="2">
        <f>IF(SUMIFS(StandardName[RankValueInTheRanking],StandardName[StandardizedName],THE_QS[[#This Row],[Nazwa uczelni]],StandardName[Ranking],$W$1)=0,$N$3,SUMIFS(StandardName[RankValueInTheRanking],StandardName[StandardizedName],THE_QS[[#This Row],[Nazwa uczelni]],StandardName[Ranking],$W$1))</f>
        <v>16</v>
      </c>
      <c r="X298" s="2">
        <f>IF(SUMIFS(StandardName[RankValueInTheRanking],StandardName[StandardizedName],THE_QS[[#This Row],[Nazwa uczelni]],StandardName[Ranking],$X$1)=0,$N$3,SUMIFS(StandardName[RankValueInTheRanking],StandardName[StandardizedName],THE_QS[[#This Row],[Nazwa uczelni]],StandardName[Ranking],$X$1))</f>
        <v>26</v>
      </c>
      <c r="Y298" s="2">
        <f>SUM(THE_QS[[#This Row],[THE_RV1000]:[Webometrics_RV1000]])</f>
        <v>55</v>
      </c>
      <c r="Z298" s="2">
        <v>7</v>
      </c>
      <c r="AA298" s="2">
        <v>6</v>
      </c>
      <c r="AB298" s="2">
        <v>16</v>
      </c>
      <c r="AC298" s="2">
        <v>26</v>
      </c>
    </row>
    <row r="299" spans="9:29" outlineLevel="1" x14ac:dyDescent="0.45">
      <c r="I299" t="s">
        <v>469</v>
      </c>
      <c r="J299">
        <v>97</v>
      </c>
      <c r="K299" t="s">
        <v>469</v>
      </c>
      <c r="L299">
        <v>95</v>
      </c>
      <c r="M299" t="s">
        <v>846</v>
      </c>
      <c r="O299" s="1" t="s">
        <v>118</v>
      </c>
      <c r="P299" s="1">
        <v>1</v>
      </c>
      <c r="Q299" s="1">
        <v>1</v>
      </c>
      <c r="R299" s="1">
        <v>1</v>
      </c>
      <c r="S299" s="1">
        <v>1</v>
      </c>
      <c r="T299" s="1">
        <v>4</v>
      </c>
      <c r="U299" s="2">
        <f>IF(SUMIFS(StandardName[RankValueInTheRanking],StandardName[StandardizedName],THE_QS[[#This Row],[Nazwa uczelni]],StandardName[Ranking],$U$1)=0,$N$3,SUMIFS(StandardName[RankValueInTheRanking],StandardName[StandardizedName],THE_QS[[#This Row],[Nazwa uczelni]],StandardName[Ranking],$U$1))</f>
        <v>20</v>
      </c>
      <c r="V299" s="2">
        <f>IF(SUMIFS(StandardName[RankValueInTheRanking],StandardName[StandardizedName],THE_QS[[#This Row],[Nazwa uczelni]],StandardName[Ranking],$V$1)=0,$N$3,SUMIFS(StandardName[RankValueInTheRanking],StandardName[StandardizedName],THE_QS[[#This Row],[Nazwa uczelni]],StandardName[Ranking],$V$1))</f>
        <v>12</v>
      </c>
      <c r="W299" s="2">
        <f>IF(SUMIFS(StandardName[RankValueInTheRanking],StandardName[StandardizedName],THE_QS[[#This Row],[Nazwa uczelni]],StandardName[Ranking],$W$1)=0,$N$3,SUMIFS(StandardName[RankValueInTheRanking],StandardName[StandardizedName],THE_QS[[#This Row],[Nazwa uczelni]],StandardName[Ranking],$W$1))</f>
        <v>20</v>
      </c>
      <c r="X299" s="2">
        <f>IF(SUMIFS(StandardName[RankValueInTheRanking],StandardName[StandardizedName],THE_QS[[#This Row],[Nazwa uczelni]],StandardName[Ranking],$X$1)=0,$N$3,SUMIFS(StandardName[RankValueInTheRanking],StandardName[StandardizedName],THE_QS[[#This Row],[Nazwa uczelni]],StandardName[Ranking],$X$1))</f>
        <v>8</v>
      </c>
      <c r="Y299" s="2">
        <f>SUM(THE_QS[[#This Row],[THE_RV1000]:[Webometrics_RV1000]])</f>
        <v>60</v>
      </c>
      <c r="Z299" s="1">
        <v>20</v>
      </c>
      <c r="AA299" s="1">
        <v>12</v>
      </c>
      <c r="AB299" s="1">
        <v>20</v>
      </c>
      <c r="AC299" s="1">
        <v>8</v>
      </c>
    </row>
    <row r="300" spans="9:29" outlineLevel="1" x14ac:dyDescent="0.45">
      <c r="I300" t="s">
        <v>471</v>
      </c>
      <c r="J300">
        <v>98</v>
      </c>
      <c r="K300" t="s">
        <v>471</v>
      </c>
      <c r="L300">
        <v>98</v>
      </c>
      <c r="M300" t="s">
        <v>846</v>
      </c>
      <c r="O300" s="2" t="s">
        <v>501</v>
      </c>
      <c r="P300" s="2">
        <v>1</v>
      </c>
      <c r="Q300" s="2">
        <v>1</v>
      </c>
      <c r="R300" s="2">
        <v>1</v>
      </c>
      <c r="S300" s="2">
        <v>1</v>
      </c>
      <c r="T300" s="2">
        <v>4</v>
      </c>
      <c r="U300" s="2">
        <f>IF(SUMIFS(StandardName[RankValueInTheRanking],StandardName[StandardizedName],THE_QS[[#This Row],[Nazwa uczelni]],StandardName[Ranking],$U$1)=0,$N$3,SUMIFS(StandardName[RankValueInTheRanking],StandardName[StandardizedName],THE_QS[[#This Row],[Nazwa uczelni]],StandardName[Ranking],$U$1))</f>
        <v>13</v>
      </c>
      <c r="V300" s="2">
        <f>IF(SUMIFS(StandardName[RankValueInTheRanking],StandardName[StandardizedName],THE_QS[[#This Row],[Nazwa uczelni]],StandardName[Ranking],$V$1)=0,$N$3,SUMIFS(StandardName[RankValueInTheRanking],StandardName[StandardizedName],THE_QS[[#This Row],[Nazwa uczelni]],StandardName[Ranking],$V$1))</f>
        <v>10</v>
      </c>
      <c r="W300" s="2">
        <f>IF(SUMIFS(StandardName[RankValueInTheRanking],StandardName[StandardizedName],THE_QS[[#This Row],[Nazwa uczelni]],StandardName[Ranking],$W$1)=0,$N$3,SUMIFS(StandardName[RankValueInTheRanking],StandardName[StandardizedName],THE_QS[[#This Row],[Nazwa uczelni]],StandardName[Ranking],$W$1))</f>
        <v>10</v>
      </c>
      <c r="X300" s="2">
        <f>IF(SUMIFS(StandardName[RankValueInTheRanking],StandardName[StandardizedName],THE_QS[[#This Row],[Nazwa uczelni]],StandardName[Ranking],$X$1)=0,$N$3,SUMIFS(StandardName[RankValueInTheRanking],StandardName[StandardizedName],THE_QS[[#This Row],[Nazwa uczelni]],StandardName[Ranking],$X$1))</f>
        <v>29</v>
      </c>
      <c r="Y300" s="2">
        <f>SUM(THE_QS[[#This Row],[THE_RV1000]:[Webometrics_RV1000]])</f>
        <v>62</v>
      </c>
      <c r="Z300" s="2">
        <v>13</v>
      </c>
      <c r="AA300" s="2">
        <v>10</v>
      </c>
      <c r="AB300" s="2">
        <v>10</v>
      </c>
      <c r="AC300" s="2">
        <v>29</v>
      </c>
    </row>
    <row r="301" spans="9:29" outlineLevel="1" x14ac:dyDescent="0.45">
      <c r="I301" t="s">
        <v>474</v>
      </c>
      <c r="J301">
        <v>99</v>
      </c>
      <c r="K301" t="s">
        <v>474</v>
      </c>
      <c r="L301">
        <v>99</v>
      </c>
      <c r="M301" t="s">
        <v>846</v>
      </c>
      <c r="O301" s="1" t="s">
        <v>83</v>
      </c>
      <c r="P301" s="1">
        <v>1</v>
      </c>
      <c r="Q301" s="1">
        <v>1</v>
      </c>
      <c r="R301" s="1">
        <v>1</v>
      </c>
      <c r="S301" s="1">
        <v>1</v>
      </c>
      <c r="T301" s="1">
        <v>4</v>
      </c>
      <c r="U301" s="2">
        <f>IF(SUMIFS(StandardName[RankValueInTheRanking],StandardName[StandardizedName],THE_QS[[#This Row],[Nazwa uczelni]],StandardName[Ranking],$U$1)=0,$N$3,SUMIFS(StandardName[RankValueInTheRanking],StandardName[StandardizedName],THE_QS[[#This Row],[Nazwa uczelni]],StandardName[Ranking],$U$1))</f>
        <v>15</v>
      </c>
      <c r="V301" s="2">
        <f>IF(SUMIFS(StandardName[RankValueInTheRanking],StandardName[StandardizedName],THE_QS[[#This Row],[Nazwa uczelni]],StandardName[Ranking],$V$1)=0,$N$3,SUMIFS(StandardName[RankValueInTheRanking],StandardName[StandardizedName],THE_QS[[#This Row],[Nazwa uczelni]],StandardName[Ranking],$V$1))</f>
        <v>14</v>
      </c>
      <c r="W301" s="2">
        <f>IF(SUMIFS(StandardName[RankValueInTheRanking],StandardName[StandardizedName],THE_QS[[#This Row],[Nazwa uczelni]],StandardName[Ranking],$W$1)=0,$N$3,SUMIFS(StandardName[RankValueInTheRanking],StandardName[StandardizedName],THE_QS[[#This Row],[Nazwa uczelni]],StandardName[Ranking],$W$1))</f>
        <v>24</v>
      </c>
      <c r="X301" s="2">
        <f>IF(SUMIFS(StandardName[RankValueInTheRanking],StandardName[StandardizedName],THE_QS[[#This Row],[Nazwa uczelni]],StandardName[Ranking],$X$1)=0,$N$3,SUMIFS(StandardName[RankValueInTheRanking],StandardName[StandardizedName],THE_QS[[#This Row],[Nazwa uczelni]],StandardName[Ranking],$X$1))</f>
        <v>10</v>
      </c>
      <c r="Y301" s="2">
        <f>SUM(THE_QS[[#This Row],[THE_RV1000]:[Webometrics_RV1000]])</f>
        <v>63</v>
      </c>
      <c r="Z301" s="1">
        <v>15</v>
      </c>
      <c r="AA301" s="1">
        <v>14</v>
      </c>
      <c r="AB301" s="1">
        <v>24</v>
      </c>
      <c r="AC301" s="1">
        <v>10</v>
      </c>
    </row>
    <row r="302" spans="9:29" outlineLevel="1" x14ac:dyDescent="0.45">
      <c r="I302" t="s">
        <v>477</v>
      </c>
      <c r="J302">
        <v>100</v>
      </c>
      <c r="K302" t="s">
        <v>477</v>
      </c>
      <c r="L302">
        <v>99</v>
      </c>
      <c r="M302" t="s">
        <v>846</v>
      </c>
      <c r="O302" s="2" t="s">
        <v>796</v>
      </c>
      <c r="P302" s="2">
        <v>1</v>
      </c>
      <c r="Q302" s="2">
        <v>1</v>
      </c>
      <c r="R302" s="2">
        <v>1</v>
      </c>
      <c r="S302" s="2">
        <v>1</v>
      </c>
      <c r="T302" s="2">
        <v>4</v>
      </c>
      <c r="U302" s="2">
        <f>IF(SUMIFS(StandardName[RankValueInTheRanking],StandardName[StandardizedName],THE_QS[[#This Row],[Nazwa uczelni]],StandardName[Ranking],$U$1)=0,$N$3,SUMIFS(StandardName[RankValueInTheRanking],StandardName[StandardizedName],THE_QS[[#This Row],[Nazwa uczelni]],StandardName[Ranking],$U$1))</f>
        <v>22</v>
      </c>
      <c r="V302" s="2">
        <f>IF(SUMIFS(StandardName[RankValueInTheRanking],StandardName[StandardizedName],THE_QS[[#This Row],[Nazwa uczelni]],StandardName[Ranking],$V$1)=0,$N$3,SUMIFS(StandardName[RankValueInTheRanking],StandardName[StandardizedName],THE_QS[[#This Row],[Nazwa uczelni]],StandardName[Ranking],$V$1))</f>
        <v>18</v>
      </c>
      <c r="W302" s="2">
        <f>IF(SUMIFS(StandardName[RankValueInTheRanking],StandardName[StandardizedName],THE_QS[[#This Row],[Nazwa uczelni]],StandardName[Ranking],$W$1)=0,$N$3,SUMIFS(StandardName[RankValueInTheRanking],StandardName[StandardizedName],THE_QS[[#This Row],[Nazwa uczelni]],StandardName[Ranking],$W$1))</f>
        <v>8</v>
      </c>
      <c r="X302" s="2">
        <f>IF(SUMIFS(StandardName[RankValueInTheRanking],StandardName[StandardizedName],THE_QS[[#This Row],[Nazwa uczelni]],StandardName[Ranking],$X$1)=0,$N$3,SUMIFS(StandardName[RankValueInTheRanking],StandardName[StandardizedName],THE_QS[[#This Row],[Nazwa uczelni]],StandardName[Ranking],$X$1))</f>
        <v>15</v>
      </c>
      <c r="Y302" s="2">
        <f>SUM(THE_QS[[#This Row],[THE_RV1000]:[Webometrics_RV1000]])</f>
        <v>63</v>
      </c>
      <c r="Z302" s="2">
        <v>22</v>
      </c>
      <c r="AA302" s="2">
        <v>18</v>
      </c>
      <c r="AB302" s="2">
        <v>8</v>
      </c>
      <c r="AC302" s="2">
        <v>15</v>
      </c>
    </row>
    <row r="303" spans="9:29" outlineLevel="1" x14ac:dyDescent="0.45">
      <c r="I303" t="s">
        <v>8</v>
      </c>
      <c r="J303">
        <v>1</v>
      </c>
      <c r="K303" t="s">
        <v>8</v>
      </c>
      <c r="L303">
        <v>1</v>
      </c>
      <c r="M303" t="s">
        <v>850</v>
      </c>
      <c r="O303" s="1" t="s">
        <v>67</v>
      </c>
      <c r="P303" s="1">
        <v>1</v>
      </c>
      <c r="Q303" s="1">
        <v>1</v>
      </c>
      <c r="R303" s="1">
        <v>1</v>
      </c>
      <c r="S303" s="1">
        <v>1</v>
      </c>
      <c r="T303" s="1">
        <v>4</v>
      </c>
      <c r="U303" s="2">
        <f>IF(SUMIFS(StandardName[RankValueInTheRanking],StandardName[StandardizedName],THE_QS[[#This Row],[Nazwa uczelni]],StandardName[Ranking],$U$1)=0,$N$3,SUMIFS(StandardName[RankValueInTheRanking],StandardName[StandardizedName],THE_QS[[#This Row],[Nazwa uczelni]],StandardName[Ranking],$U$1))</f>
        <v>11</v>
      </c>
      <c r="V303" s="2">
        <f>IF(SUMIFS(StandardName[RankValueInTheRanking],StandardName[StandardizedName],THE_QS[[#This Row],[Nazwa uczelni]],StandardName[Ranking],$V$1)=0,$N$3,SUMIFS(StandardName[RankValueInTheRanking],StandardName[StandardizedName],THE_QS[[#This Row],[Nazwa uczelni]],StandardName[Ranking],$V$1))</f>
        <v>20</v>
      </c>
      <c r="W303" s="2">
        <f>IF(SUMIFS(StandardName[RankValueInTheRanking],StandardName[StandardizedName],THE_QS[[#This Row],[Nazwa uczelni]],StandardName[Ranking],$W$1)=0,$N$3,SUMIFS(StandardName[RankValueInTheRanking],StandardName[StandardizedName],THE_QS[[#This Row],[Nazwa uczelni]],StandardName[Ranking],$W$1))</f>
        <v>9</v>
      </c>
      <c r="X303" s="2">
        <f>IF(SUMIFS(StandardName[RankValueInTheRanking],StandardName[StandardizedName],THE_QS[[#This Row],[Nazwa uczelni]],StandardName[Ranking],$X$1)=0,$N$3,SUMIFS(StandardName[RankValueInTheRanking],StandardName[StandardizedName],THE_QS[[#This Row],[Nazwa uczelni]],StandardName[Ranking],$X$1))</f>
        <v>30</v>
      </c>
      <c r="Y303" s="2">
        <f>SUM(THE_QS[[#This Row],[THE_RV1000]:[Webometrics_RV1000]])</f>
        <v>70</v>
      </c>
      <c r="Z303" s="1">
        <v>11</v>
      </c>
      <c r="AA303" s="1">
        <v>20</v>
      </c>
      <c r="AB303" s="1">
        <v>9</v>
      </c>
      <c r="AC303" s="1">
        <v>30</v>
      </c>
    </row>
    <row r="304" spans="9:29" outlineLevel="1" x14ac:dyDescent="0.45">
      <c r="I304" t="s">
        <v>21</v>
      </c>
      <c r="J304">
        <v>2</v>
      </c>
      <c r="K304" t="s">
        <v>21</v>
      </c>
      <c r="L304">
        <v>2</v>
      </c>
      <c r="M304" t="s">
        <v>850</v>
      </c>
      <c r="O304" s="2" t="s">
        <v>54</v>
      </c>
      <c r="P304" s="2">
        <v>1</v>
      </c>
      <c r="Q304" s="2">
        <v>1</v>
      </c>
      <c r="R304" s="2">
        <v>1</v>
      </c>
      <c r="S304" s="2">
        <v>1</v>
      </c>
      <c r="T304" s="2">
        <v>4</v>
      </c>
      <c r="U304" s="2">
        <f>IF(SUMIFS(StandardName[RankValueInTheRanking],StandardName[StandardizedName],THE_QS[[#This Row],[Nazwa uczelni]],StandardName[Ranking],$U$1)=0,$N$3,SUMIFS(StandardName[RankValueInTheRanking],StandardName[StandardizedName],THE_QS[[#This Row],[Nazwa uczelni]],StandardName[Ranking],$U$1))</f>
        <v>10</v>
      </c>
      <c r="V304" s="2">
        <f>IF(SUMIFS(StandardName[RankValueInTheRanking],StandardName[StandardizedName],THE_QS[[#This Row],[Nazwa uczelni]],StandardName[Ranking],$V$1)=0,$N$3,SUMIFS(StandardName[RankValueInTheRanking],StandardName[StandardizedName],THE_QS[[#This Row],[Nazwa uczelni]],StandardName[Ranking],$V$1))</f>
        <v>23</v>
      </c>
      <c r="W304" s="2">
        <f>IF(SUMIFS(StandardName[RankValueInTheRanking],StandardName[StandardizedName],THE_QS[[#This Row],[Nazwa uczelni]],StandardName[Ranking],$W$1)=0,$N$3,SUMIFS(StandardName[RankValueInTheRanking],StandardName[StandardizedName],THE_QS[[#This Row],[Nazwa uczelni]],StandardName[Ranking],$W$1))</f>
        <v>6</v>
      </c>
      <c r="X304" s="2">
        <f>IF(SUMIFS(StandardName[RankValueInTheRanking],StandardName[StandardizedName],THE_QS[[#This Row],[Nazwa uczelni]],StandardName[Ranking],$X$1)=0,$N$3,SUMIFS(StandardName[RankValueInTheRanking],StandardName[StandardizedName],THE_QS[[#This Row],[Nazwa uczelni]],StandardName[Ranking],$X$1))</f>
        <v>35</v>
      </c>
      <c r="Y304" s="2">
        <f>SUM(THE_QS[[#This Row],[THE_RV1000]:[Webometrics_RV1000]])</f>
        <v>74</v>
      </c>
      <c r="Z304" s="2">
        <v>10</v>
      </c>
      <c r="AA304" s="2">
        <v>23</v>
      </c>
      <c r="AB304" s="2">
        <v>6</v>
      </c>
      <c r="AC304" s="2">
        <v>35</v>
      </c>
    </row>
    <row r="305" spans="9:29" outlineLevel="1" x14ac:dyDescent="0.45">
      <c r="I305" t="s">
        <v>27</v>
      </c>
      <c r="J305">
        <v>3</v>
      </c>
      <c r="K305" t="s">
        <v>27</v>
      </c>
      <c r="L305">
        <v>3</v>
      </c>
      <c r="M305" t="s">
        <v>850</v>
      </c>
      <c r="O305" s="1" t="s">
        <v>31</v>
      </c>
      <c r="P305" s="1">
        <v>1</v>
      </c>
      <c r="Q305" s="1">
        <v>1</v>
      </c>
      <c r="R305" s="1">
        <v>1</v>
      </c>
      <c r="S305" s="1">
        <v>1</v>
      </c>
      <c r="T305" s="1">
        <v>4</v>
      </c>
      <c r="U305" s="2">
        <f>IF(SUMIFS(StandardName[RankValueInTheRanking],StandardName[StandardizedName],THE_QS[[#This Row],[Nazwa uczelni]],StandardName[Ranking],$U$1)=0,$N$3,SUMIFS(StandardName[RankValueInTheRanking],StandardName[StandardizedName],THE_QS[[#This Row],[Nazwa uczelni]],StandardName[Ranking],$U$1))</f>
        <v>6</v>
      </c>
      <c r="V305" s="2">
        <f>IF(SUMIFS(StandardName[RankValueInTheRanking],StandardName[StandardizedName],THE_QS[[#This Row],[Nazwa uczelni]],StandardName[Ranking],$V$1)=0,$N$3,SUMIFS(StandardName[RankValueInTheRanking],StandardName[StandardizedName],THE_QS[[#This Row],[Nazwa uczelni]],StandardName[Ranking],$V$1))</f>
        <v>9</v>
      </c>
      <c r="W305" s="2">
        <f>IF(SUMIFS(StandardName[RankValueInTheRanking],StandardName[StandardizedName],THE_QS[[#This Row],[Nazwa uczelni]],StandardName[Ranking],$W$1)=0,$N$3,SUMIFS(StandardName[RankValueInTheRanking],StandardName[StandardizedName],THE_QS[[#This Row],[Nazwa uczelni]],StandardName[Ranking],$W$1))</f>
        <v>6</v>
      </c>
      <c r="X305" s="2">
        <f>IF(SUMIFS(StandardName[RankValueInTheRanking],StandardName[StandardizedName],THE_QS[[#This Row],[Nazwa uczelni]],StandardName[Ranking],$X$1)=0,$N$3,SUMIFS(StandardName[RankValueInTheRanking],StandardName[StandardizedName],THE_QS[[#This Row],[Nazwa uczelni]],StandardName[Ranking],$X$1))</f>
        <v>59</v>
      </c>
      <c r="Y305" s="2">
        <f>SUM(THE_QS[[#This Row],[THE_RV1000]:[Webometrics_RV1000]])</f>
        <v>80</v>
      </c>
      <c r="Z305" s="1">
        <v>6</v>
      </c>
      <c r="AA305" s="1">
        <v>9</v>
      </c>
      <c r="AB305" s="1">
        <v>6</v>
      </c>
      <c r="AC305" s="1">
        <v>59</v>
      </c>
    </row>
    <row r="306" spans="9:29" outlineLevel="1" x14ac:dyDescent="0.45">
      <c r="I306" t="s">
        <v>792</v>
      </c>
      <c r="J306">
        <v>4</v>
      </c>
      <c r="K306" t="s">
        <v>792</v>
      </c>
      <c r="L306">
        <v>4</v>
      </c>
      <c r="M306" t="s">
        <v>850</v>
      </c>
      <c r="O306" s="2" t="s">
        <v>89</v>
      </c>
      <c r="P306" s="2">
        <v>1</v>
      </c>
      <c r="Q306" s="2">
        <v>1</v>
      </c>
      <c r="R306" s="2">
        <v>1</v>
      </c>
      <c r="S306" s="2">
        <v>1</v>
      </c>
      <c r="T306" s="2">
        <v>4</v>
      </c>
      <c r="U306" s="2">
        <f>IF(SUMIFS(StandardName[RankValueInTheRanking],StandardName[StandardizedName],THE_QS[[#This Row],[Nazwa uczelni]],StandardName[Ranking],$U$1)=0,$N$3,SUMIFS(StandardName[RankValueInTheRanking],StandardName[StandardizedName],THE_QS[[#This Row],[Nazwa uczelni]],StandardName[Ranking],$U$1))</f>
        <v>16</v>
      </c>
      <c r="V306" s="2">
        <f>IF(SUMIFS(StandardName[RankValueInTheRanking],StandardName[StandardizedName],THE_QS[[#This Row],[Nazwa uczelni]],StandardName[Ranking],$V$1)=0,$N$3,SUMIFS(StandardName[RankValueInTheRanking],StandardName[StandardizedName],THE_QS[[#This Row],[Nazwa uczelni]],StandardName[Ranking],$V$1))</f>
        <v>26</v>
      </c>
      <c r="W306" s="2">
        <f>IF(SUMIFS(StandardName[RankValueInTheRanking],StandardName[StandardizedName],THE_QS[[#This Row],[Nazwa uczelni]],StandardName[Ranking],$W$1)=0,$N$3,SUMIFS(StandardName[RankValueInTheRanking],StandardName[StandardizedName],THE_QS[[#This Row],[Nazwa uczelni]],StandardName[Ranking],$W$1))</f>
        <v>14</v>
      </c>
      <c r="X306" s="2">
        <f>IF(SUMIFS(StandardName[RankValueInTheRanking],StandardName[StandardizedName],THE_QS[[#This Row],[Nazwa uczelni]],StandardName[Ranking],$X$1)=0,$N$3,SUMIFS(StandardName[RankValueInTheRanking],StandardName[StandardizedName],THE_QS[[#This Row],[Nazwa uczelni]],StandardName[Ranking],$X$1))</f>
        <v>24</v>
      </c>
      <c r="Y306" s="2">
        <f>SUM(THE_QS[[#This Row],[THE_RV1000]:[Webometrics_RV1000]])</f>
        <v>80</v>
      </c>
      <c r="Z306" s="2">
        <v>16</v>
      </c>
      <c r="AA306" s="2">
        <v>26</v>
      </c>
      <c r="AB306" s="2">
        <v>14</v>
      </c>
      <c r="AC306" s="2">
        <v>24</v>
      </c>
    </row>
    <row r="307" spans="9:29" outlineLevel="1" x14ac:dyDescent="0.45">
      <c r="I307" t="s">
        <v>0</v>
      </c>
      <c r="J307">
        <v>5</v>
      </c>
      <c r="K307" t="s">
        <v>0</v>
      </c>
      <c r="L307">
        <v>5</v>
      </c>
      <c r="M307" t="s">
        <v>850</v>
      </c>
      <c r="O307" s="1" t="s">
        <v>133</v>
      </c>
      <c r="P307" s="1">
        <v>1</v>
      </c>
      <c r="Q307" s="1">
        <v>1</v>
      </c>
      <c r="R307" s="1">
        <v>1</v>
      </c>
      <c r="S307" s="1">
        <v>1</v>
      </c>
      <c r="T307" s="1">
        <v>4</v>
      </c>
      <c r="U307" s="2">
        <f>IF(SUMIFS(StandardName[RankValueInTheRanking],StandardName[StandardizedName],THE_QS[[#This Row],[Nazwa uczelni]],StandardName[Ranking],$U$1)=0,$N$3,SUMIFS(StandardName[RankValueInTheRanking],StandardName[StandardizedName],THE_QS[[#This Row],[Nazwa uczelni]],StandardName[Ranking],$U$1))</f>
        <v>23</v>
      </c>
      <c r="V307" s="2">
        <f>IF(SUMIFS(StandardName[RankValueInTheRanking],StandardName[StandardizedName],THE_QS[[#This Row],[Nazwa uczelni]],StandardName[Ranking],$V$1)=0,$N$3,SUMIFS(StandardName[RankValueInTheRanking],StandardName[StandardizedName],THE_QS[[#This Row],[Nazwa uczelni]],StandardName[Ranking],$V$1))</f>
        <v>28</v>
      </c>
      <c r="W307" s="2">
        <f>IF(SUMIFS(StandardName[RankValueInTheRanking],StandardName[StandardizedName],THE_QS[[#This Row],[Nazwa uczelni]],StandardName[Ranking],$W$1)=0,$N$3,SUMIFS(StandardName[RankValueInTheRanking],StandardName[StandardizedName],THE_QS[[#This Row],[Nazwa uczelni]],StandardName[Ranking],$W$1))</f>
        <v>25</v>
      </c>
      <c r="X307" s="2">
        <f>IF(SUMIFS(StandardName[RankValueInTheRanking],StandardName[StandardizedName],THE_QS[[#This Row],[Nazwa uczelni]],StandardName[Ranking],$X$1)=0,$N$3,SUMIFS(StandardName[RankValueInTheRanking],StandardName[StandardizedName],THE_QS[[#This Row],[Nazwa uczelni]],StandardName[Ranking],$X$1))</f>
        <v>6</v>
      </c>
      <c r="Y307" s="2">
        <f>SUM(THE_QS[[#This Row],[THE_RV1000]:[Webometrics_RV1000]])</f>
        <v>82</v>
      </c>
      <c r="Z307" s="1">
        <v>23</v>
      </c>
      <c r="AA307" s="1">
        <v>28</v>
      </c>
      <c r="AB307" s="1">
        <v>25</v>
      </c>
      <c r="AC307" s="1">
        <v>6</v>
      </c>
    </row>
    <row r="308" spans="9:29" outlineLevel="1" x14ac:dyDescent="0.45">
      <c r="I308" t="s">
        <v>793</v>
      </c>
      <c r="J308">
        <v>6</v>
      </c>
      <c r="K308" t="s">
        <v>133</v>
      </c>
      <c r="L308">
        <v>6</v>
      </c>
      <c r="M308" t="s">
        <v>850</v>
      </c>
      <c r="O308" s="2" t="s">
        <v>102</v>
      </c>
      <c r="P308" s="2">
        <v>1</v>
      </c>
      <c r="Q308" s="2">
        <v>1</v>
      </c>
      <c r="R308" s="2">
        <v>1</v>
      </c>
      <c r="S308" s="2">
        <v>1</v>
      </c>
      <c r="T308" s="2">
        <v>4</v>
      </c>
      <c r="U308" s="2">
        <f>IF(SUMIFS(StandardName[RankValueInTheRanking],StandardName[StandardizedName],THE_QS[[#This Row],[Nazwa uczelni]],StandardName[Ranking],$U$1)=0,$N$3,SUMIFS(StandardName[RankValueInTheRanking],StandardName[StandardizedName],THE_QS[[#This Row],[Nazwa uczelni]],StandardName[Ranking],$U$1))</f>
        <v>18</v>
      </c>
      <c r="V308" s="2">
        <f>IF(SUMIFS(StandardName[RankValueInTheRanking],StandardName[StandardizedName],THE_QS[[#This Row],[Nazwa uczelni]],StandardName[Ranking],$V$1)=0,$N$3,SUMIFS(StandardName[RankValueInTheRanking],StandardName[StandardizedName],THE_QS[[#This Row],[Nazwa uczelni]],StandardName[Ranking],$V$1))</f>
        <v>22</v>
      </c>
      <c r="W308" s="2">
        <f>IF(SUMIFS(StandardName[RankValueInTheRanking],StandardName[StandardizedName],THE_QS[[#This Row],[Nazwa uczelni]],StandardName[Ranking],$W$1)=0,$N$3,SUMIFS(StandardName[RankValueInTheRanking],StandardName[StandardizedName],THE_QS[[#This Row],[Nazwa uczelni]],StandardName[Ranking],$W$1))</f>
        <v>34</v>
      </c>
      <c r="X308" s="2">
        <f>IF(SUMIFS(StandardName[RankValueInTheRanking],StandardName[StandardizedName],THE_QS[[#This Row],[Nazwa uczelni]],StandardName[Ranking],$X$1)=0,$N$3,SUMIFS(StandardName[RankValueInTheRanking],StandardName[StandardizedName],THE_QS[[#This Row],[Nazwa uczelni]],StandardName[Ranking],$X$1))</f>
        <v>16</v>
      </c>
      <c r="Y308" s="2">
        <f>SUM(THE_QS[[#This Row],[THE_RV1000]:[Webometrics_RV1000]])</f>
        <v>90</v>
      </c>
      <c r="Z308" s="2">
        <v>18</v>
      </c>
      <c r="AA308" s="2">
        <v>22</v>
      </c>
      <c r="AB308" s="2">
        <v>34</v>
      </c>
      <c r="AC308" s="2">
        <v>16</v>
      </c>
    </row>
    <row r="309" spans="9:29" outlineLevel="1" x14ac:dyDescent="0.45">
      <c r="I309" t="s">
        <v>157</v>
      </c>
      <c r="J309">
        <v>7</v>
      </c>
      <c r="K309" t="s">
        <v>157</v>
      </c>
      <c r="L309">
        <v>7</v>
      </c>
      <c r="M309" t="s">
        <v>850</v>
      </c>
      <c r="O309" s="1" t="s">
        <v>795</v>
      </c>
      <c r="P309" s="1">
        <v>1</v>
      </c>
      <c r="Q309" s="1">
        <v>1</v>
      </c>
      <c r="R309" s="1">
        <v>1</v>
      </c>
      <c r="S309" s="1">
        <v>1</v>
      </c>
      <c r="T309" s="1">
        <v>4</v>
      </c>
      <c r="U309" s="2">
        <f>IF(SUMIFS(StandardName[RankValueInTheRanking],StandardName[StandardizedName],THE_QS[[#This Row],[Nazwa uczelni]],StandardName[Ranking],$U$1)=0,$N$3,SUMIFS(StandardName[RankValueInTheRanking],StandardName[StandardizedName],THE_QS[[#This Row],[Nazwa uczelni]],StandardName[Ranking],$U$1))</f>
        <v>21</v>
      </c>
      <c r="V309" s="2">
        <f>IF(SUMIFS(StandardName[RankValueInTheRanking],StandardName[StandardizedName],THE_QS[[#This Row],[Nazwa uczelni]],StandardName[Ranking],$V$1)=0,$N$3,SUMIFS(StandardName[RankValueInTheRanking],StandardName[StandardizedName],THE_QS[[#This Row],[Nazwa uczelni]],StandardName[Ranking],$V$1))</f>
        <v>13</v>
      </c>
      <c r="W309" s="2">
        <f>IF(SUMIFS(StandardName[RankValueInTheRanking],StandardName[StandardizedName],THE_QS[[#This Row],[Nazwa uczelni]],StandardName[Ranking],$W$1)=0,$N$3,SUMIFS(StandardName[RankValueInTheRanking],StandardName[StandardizedName],THE_QS[[#This Row],[Nazwa uczelni]],StandardName[Ranking],$W$1))</f>
        <v>44</v>
      </c>
      <c r="X309" s="2">
        <f>IF(SUMIFS(StandardName[RankValueInTheRanking],StandardName[StandardizedName],THE_QS[[#This Row],[Nazwa uczelni]],StandardName[Ranking],$X$1)=0,$N$3,SUMIFS(StandardName[RankValueInTheRanking],StandardName[StandardizedName],THE_QS[[#This Row],[Nazwa uczelni]],StandardName[Ranking],$X$1))</f>
        <v>13</v>
      </c>
      <c r="Y309" s="2">
        <f>SUM(THE_QS[[#This Row],[THE_RV1000]:[Webometrics_RV1000]])</f>
        <v>91</v>
      </c>
      <c r="Z309" s="1">
        <v>21</v>
      </c>
      <c r="AA309" s="1">
        <v>13</v>
      </c>
      <c r="AB309" s="1">
        <v>44</v>
      </c>
      <c r="AC309" s="1">
        <v>13</v>
      </c>
    </row>
    <row r="310" spans="9:29" outlineLevel="1" x14ac:dyDescent="0.45">
      <c r="I310" t="s">
        <v>118</v>
      </c>
      <c r="J310">
        <v>8</v>
      </c>
      <c r="K310" t="s">
        <v>118</v>
      </c>
      <c r="L310">
        <v>8</v>
      </c>
      <c r="M310" t="s">
        <v>850</v>
      </c>
      <c r="O310" s="2" t="s">
        <v>97</v>
      </c>
      <c r="P310" s="2">
        <v>1</v>
      </c>
      <c r="Q310" s="2">
        <v>1</v>
      </c>
      <c r="R310" s="2">
        <v>1</v>
      </c>
      <c r="S310" s="2">
        <v>1</v>
      </c>
      <c r="T310" s="2">
        <v>4</v>
      </c>
      <c r="U310" s="2">
        <f>IF(SUMIFS(StandardName[RankValueInTheRanking],StandardName[StandardizedName],THE_QS[[#This Row],[Nazwa uczelni]],StandardName[Ranking],$U$1)=0,$N$3,SUMIFS(StandardName[RankValueInTheRanking],StandardName[StandardizedName],THE_QS[[#This Row],[Nazwa uczelni]],StandardName[Ranking],$U$1))</f>
        <v>17</v>
      </c>
      <c r="V310" s="2">
        <f>IF(SUMIFS(StandardName[RankValueInTheRanking],StandardName[StandardizedName],THE_QS[[#This Row],[Nazwa uczelni]],StandardName[Ranking],$V$1)=0,$N$3,SUMIFS(StandardName[RankValueInTheRanking],StandardName[StandardizedName],THE_QS[[#This Row],[Nazwa uczelni]],StandardName[Ranking],$V$1))</f>
        <v>34</v>
      </c>
      <c r="W310" s="2">
        <f>IF(SUMIFS(StandardName[RankValueInTheRanking],StandardName[StandardizedName],THE_QS[[#This Row],[Nazwa uczelni]],StandardName[Ranking],$W$1)=0,$N$3,SUMIFS(StandardName[RankValueInTheRanking],StandardName[StandardizedName],THE_QS[[#This Row],[Nazwa uczelni]],StandardName[Ranking],$W$1))</f>
        <v>12</v>
      </c>
      <c r="X310" s="2">
        <f>IF(SUMIFS(StandardName[RankValueInTheRanking],StandardName[StandardizedName],THE_QS[[#This Row],[Nazwa uczelni]],StandardName[Ranking],$X$1)=0,$N$3,SUMIFS(StandardName[RankValueInTheRanking],StandardName[StandardizedName],THE_QS[[#This Row],[Nazwa uczelni]],StandardName[Ranking],$X$1))</f>
        <v>32</v>
      </c>
      <c r="Y310" s="2">
        <f>SUM(THE_QS[[#This Row],[THE_RV1000]:[Webometrics_RV1000]])</f>
        <v>95</v>
      </c>
      <c r="Z310" s="2">
        <v>17</v>
      </c>
      <c r="AA310" s="2">
        <v>34</v>
      </c>
      <c r="AB310" s="2">
        <v>12</v>
      </c>
      <c r="AC310" s="2">
        <v>32</v>
      </c>
    </row>
    <row r="311" spans="9:29" outlineLevel="1" x14ac:dyDescent="0.45">
      <c r="I311" t="s">
        <v>794</v>
      </c>
      <c r="J311">
        <v>9</v>
      </c>
      <c r="K311" t="s">
        <v>61</v>
      </c>
      <c r="L311">
        <v>9</v>
      </c>
      <c r="M311" t="s">
        <v>850</v>
      </c>
      <c r="O311" s="1" t="s">
        <v>151</v>
      </c>
      <c r="P311" s="1">
        <v>1</v>
      </c>
      <c r="Q311" s="1">
        <v>1</v>
      </c>
      <c r="R311" s="1">
        <v>1</v>
      </c>
      <c r="S311" s="1">
        <v>1</v>
      </c>
      <c r="T311" s="1">
        <v>4</v>
      </c>
      <c r="U311" s="2">
        <f>IF(SUMIFS(StandardName[RankValueInTheRanking],StandardName[StandardizedName],THE_QS[[#This Row],[Nazwa uczelni]],StandardName[Ranking],$U$1)=0,$N$3,SUMIFS(StandardName[RankValueInTheRanking],StandardName[StandardizedName],THE_QS[[#This Row],[Nazwa uczelni]],StandardName[Ranking],$U$1))</f>
        <v>26</v>
      </c>
      <c r="V311" s="2">
        <f>IF(SUMIFS(StandardName[RankValueInTheRanking],StandardName[StandardizedName],THE_QS[[#This Row],[Nazwa uczelni]],StandardName[Ranking],$V$1)=0,$N$3,SUMIFS(StandardName[RankValueInTheRanking],StandardName[StandardizedName],THE_QS[[#This Row],[Nazwa uczelni]],StandardName[Ranking],$V$1))</f>
        <v>30</v>
      </c>
      <c r="W311" s="2">
        <f>IF(SUMIFS(StandardName[RankValueInTheRanking],StandardName[StandardizedName],THE_QS[[#This Row],[Nazwa uczelni]],StandardName[Ranking],$W$1)=0,$N$3,SUMIFS(StandardName[RankValueInTheRanking],StandardName[StandardizedName],THE_QS[[#This Row],[Nazwa uczelni]],StandardName[Ranking],$W$1))</f>
        <v>32</v>
      </c>
      <c r="X311" s="2">
        <f>IF(SUMIFS(StandardName[RankValueInTheRanking],StandardName[StandardizedName],THE_QS[[#This Row],[Nazwa uczelni]],StandardName[Ranking],$X$1)=0,$N$3,SUMIFS(StandardName[RankValueInTheRanking],StandardName[StandardizedName],THE_QS[[#This Row],[Nazwa uczelni]],StandardName[Ranking],$X$1))</f>
        <v>22</v>
      </c>
      <c r="Y311" s="2">
        <f>SUM(THE_QS[[#This Row],[THE_RV1000]:[Webometrics_RV1000]])</f>
        <v>110</v>
      </c>
      <c r="Z311" s="1">
        <v>26</v>
      </c>
      <c r="AA311" s="1">
        <v>30</v>
      </c>
      <c r="AB311" s="1">
        <v>32</v>
      </c>
      <c r="AC311" s="1">
        <v>22</v>
      </c>
    </row>
    <row r="312" spans="9:29" outlineLevel="1" x14ac:dyDescent="0.45">
      <c r="I312" t="s">
        <v>83</v>
      </c>
      <c r="J312">
        <v>10</v>
      </c>
      <c r="K312" t="s">
        <v>83</v>
      </c>
      <c r="L312">
        <v>10</v>
      </c>
      <c r="M312" t="s">
        <v>850</v>
      </c>
      <c r="O312" s="2" t="s">
        <v>139</v>
      </c>
      <c r="P312" s="2">
        <v>1</v>
      </c>
      <c r="Q312" s="2">
        <v>1</v>
      </c>
      <c r="R312" s="2">
        <v>1</v>
      </c>
      <c r="S312" s="2">
        <v>1</v>
      </c>
      <c r="T312" s="2">
        <v>4</v>
      </c>
      <c r="U312" s="2">
        <f>IF(SUMIFS(StandardName[RankValueInTheRanking],StandardName[StandardizedName],THE_QS[[#This Row],[Nazwa uczelni]],StandardName[Ranking],$U$1)=0,$N$3,SUMIFS(StandardName[RankValueInTheRanking],StandardName[StandardizedName],THE_QS[[#This Row],[Nazwa uczelni]],StandardName[Ranking],$U$1))</f>
        <v>24</v>
      </c>
      <c r="V312" s="2">
        <f>IF(SUMIFS(StandardName[RankValueInTheRanking],StandardName[StandardizedName],THE_QS[[#This Row],[Nazwa uczelni]],StandardName[Ranking],$V$1)=0,$N$3,SUMIFS(StandardName[RankValueInTheRanking],StandardName[StandardizedName],THE_QS[[#This Row],[Nazwa uczelni]],StandardName[Ranking],$V$1))</f>
        <v>25</v>
      </c>
      <c r="W312" s="2">
        <f>IF(SUMIFS(StandardName[RankValueInTheRanking],StandardName[StandardizedName],THE_QS[[#This Row],[Nazwa uczelni]],StandardName[Ranking],$W$1)=0,$N$3,SUMIFS(StandardName[RankValueInTheRanking],StandardName[StandardizedName],THE_QS[[#This Row],[Nazwa uczelni]],StandardName[Ranking],$W$1))</f>
        <v>39</v>
      </c>
      <c r="X312" s="2">
        <f>IF(SUMIFS(StandardName[RankValueInTheRanking],StandardName[StandardizedName],THE_QS[[#This Row],[Nazwa uczelni]],StandardName[Ranking],$X$1)=0,$N$3,SUMIFS(StandardName[RankValueInTheRanking],StandardName[StandardizedName],THE_QS[[#This Row],[Nazwa uczelni]],StandardName[Ranking],$X$1))</f>
        <v>23</v>
      </c>
      <c r="Y312" s="2">
        <f>SUM(THE_QS[[#This Row],[THE_RV1000]:[Webometrics_RV1000]])</f>
        <v>111</v>
      </c>
      <c r="Z312" s="2">
        <v>24</v>
      </c>
      <c r="AA312" s="2">
        <v>25</v>
      </c>
      <c r="AB312" s="2">
        <v>39</v>
      </c>
      <c r="AC312" s="2">
        <v>23</v>
      </c>
    </row>
    <row r="313" spans="9:29" outlineLevel="1" x14ac:dyDescent="0.45">
      <c r="I313" t="s">
        <v>79</v>
      </c>
      <c r="J313">
        <v>11</v>
      </c>
      <c r="K313" t="s">
        <v>79</v>
      </c>
      <c r="L313">
        <v>11</v>
      </c>
      <c r="M313" t="s">
        <v>850</v>
      </c>
      <c r="O313" s="1" t="s">
        <v>797</v>
      </c>
      <c r="P313" s="1">
        <v>1</v>
      </c>
      <c r="Q313" s="1">
        <v>1</v>
      </c>
      <c r="R313" s="1">
        <v>1</v>
      </c>
      <c r="S313" s="1">
        <v>1</v>
      </c>
      <c r="T313" s="1">
        <v>4</v>
      </c>
      <c r="U313" s="2">
        <f>IF(SUMIFS(StandardName[RankValueInTheRanking],StandardName[StandardizedName],THE_QS[[#This Row],[Nazwa uczelni]],StandardName[Ranking],$U$1)=0,$N$3,SUMIFS(StandardName[RankValueInTheRanking],StandardName[StandardizedName],THE_QS[[#This Row],[Nazwa uczelni]],StandardName[Ranking],$U$1))</f>
        <v>32</v>
      </c>
      <c r="V313" s="2">
        <f>IF(SUMIFS(StandardName[RankValueInTheRanking],StandardName[StandardizedName],THE_QS[[#This Row],[Nazwa uczelni]],StandardName[Ranking],$V$1)=0,$N$3,SUMIFS(StandardName[RankValueInTheRanking],StandardName[StandardizedName],THE_QS[[#This Row],[Nazwa uczelni]],StandardName[Ranking],$V$1))</f>
        <v>21</v>
      </c>
      <c r="W313" s="2">
        <f>IF(SUMIFS(StandardName[RankValueInTheRanking],StandardName[StandardizedName],THE_QS[[#This Row],[Nazwa uczelni]],StandardName[Ranking],$W$1)=0,$N$3,SUMIFS(StandardName[RankValueInTheRanking],StandardName[StandardizedName],THE_QS[[#This Row],[Nazwa uczelni]],StandardName[Ranking],$W$1))</f>
        <v>53</v>
      </c>
      <c r="X313" s="2">
        <f>IF(SUMIFS(StandardName[RankValueInTheRanking],StandardName[StandardizedName],THE_QS[[#This Row],[Nazwa uczelni]],StandardName[Ranking],$X$1)=0,$N$3,SUMIFS(StandardName[RankValueInTheRanking],StandardName[StandardizedName],THE_QS[[#This Row],[Nazwa uczelni]],StandardName[Ranking],$X$1))</f>
        <v>17</v>
      </c>
      <c r="Y313" s="2">
        <f>SUM(THE_QS[[#This Row],[THE_RV1000]:[Webometrics_RV1000]])</f>
        <v>123</v>
      </c>
      <c r="Z313" s="1">
        <v>32</v>
      </c>
      <c r="AA313" s="1">
        <v>21</v>
      </c>
      <c r="AB313" s="1">
        <v>53</v>
      </c>
      <c r="AC313" s="1">
        <v>17</v>
      </c>
    </row>
    <row r="314" spans="9:29" outlineLevel="1" x14ac:dyDescent="0.45">
      <c r="I314" t="s">
        <v>15</v>
      </c>
      <c r="J314">
        <v>12</v>
      </c>
      <c r="K314" t="s">
        <v>15</v>
      </c>
      <c r="L314">
        <v>12</v>
      </c>
      <c r="M314" t="s">
        <v>850</v>
      </c>
      <c r="O314" s="2" t="s">
        <v>169</v>
      </c>
      <c r="P314" s="2">
        <v>1</v>
      </c>
      <c r="Q314" s="2">
        <v>1</v>
      </c>
      <c r="R314" s="2">
        <v>1</v>
      </c>
      <c r="S314" s="2">
        <v>1</v>
      </c>
      <c r="T314" s="2">
        <v>4</v>
      </c>
      <c r="U314" s="2">
        <f>IF(SUMIFS(StandardName[RankValueInTheRanking],StandardName[StandardizedName],THE_QS[[#This Row],[Nazwa uczelni]],StandardName[Ranking],$U$1)=0,$N$3,SUMIFS(StandardName[RankValueInTheRanking],StandardName[StandardizedName],THE_QS[[#This Row],[Nazwa uczelni]],StandardName[Ranking],$U$1))</f>
        <v>29</v>
      </c>
      <c r="V314" s="2">
        <f>IF(SUMIFS(StandardName[RankValueInTheRanking],StandardName[StandardizedName],THE_QS[[#This Row],[Nazwa uczelni]],StandardName[Ranking],$V$1)=0,$N$3,SUMIFS(StandardName[RankValueInTheRanking],StandardName[StandardizedName],THE_QS[[#This Row],[Nazwa uczelni]],StandardName[Ranking],$V$1))</f>
        <v>35</v>
      </c>
      <c r="W314" s="2">
        <f>IF(SUMIFS(StandardName[RankValueInTheRanking],StandardName[StandardizedName],THE_QS[[#This Row],[Nazwa uczelni]],StandardName[Ranking],$W$1)=0,$N$3,SUMIFS(StandardName[RankValueInTheRanking],StandardName[StandardizedName],THE_QS[[#This Row],[Nazwa uczelni]],StandardName[Ranking],$W$1))</f>
        <v>15</v>
      </c>
      <c r="X314" s="2">
        <f>IF(SUMIFS(StandardName[RankValueInTheRanking],StandardName[StandardizedName],THE_QS[[#This Row],[Nazwa uczelni]],StandardName[Ranking],$X$1)=0,$N$3,SUMIFS(StandardName[RankValueInTheRanking],StandardName[StandardizedName],THE_QS[[#This Row],[Nazwa uczelni]],StandardName[Ranking],$X$1))</f>
        <v>44</v>
      </c>
      <c r="Y314" s="2">
        <f>SUM(THE_QS[[#This Row],[THE_RV1000]:[Webometrics_RV1000]])</f>
        <v>123</v>
      </c>
      <c r="Z314" s="2">
        <v>29</v>
      </c>
      <c r="AA314" s="2">
        <v>35</v>
      </c>
      <c r="AB314" s="2">
        <v>15</v>
      </c>
      <c r="AC314" s="2">
        <v>44</v>
      </c>
    </row>
    <row r="315" spans="9:29" outlineLevel="1" x14ac:dyDescent="0.45">
      <c r="I315" t="s">
        <v>795</v>
      </c>
      <c r="J315">
        <v>13</v>
      </c>
      <c r="K315" t="s">
        <v>795</v>
      </c>
      <c r="L315">
        <v>13</v>
      </c>
      <c r="M315" t="s">
        <v>850</v>
      </c>
      <c r="O315" s="1" t="s">
        <v>145</v>
      </c>
      <c r="P315" s="1">
        <v>1</v>
      </c>
      <c r="Q315" s="1">
        <v>1</v>
      </c>
      <c r="R315" s="1">
        <v>1</v>
      </c>
      <c r="S315" s="1">
        <v>1</v>
      </c>
      <c r="T315" s="1">
        <v>4</v>
      </c>
      <c r="U315" s="2">
        <f>IF(SUMIFS(StandardName[RankValueInTheRanking],StandardName[StandardizedName],THE_QS[[#This Row],[Nazwa uczelni]],StandardName[Ranking],$U$1)=0,$N$3,SUMIFS(StandardName[RankValueInTheRanking],StandardName[StandardizedName],THE_QS[[#This Row],[Nazwa uczelni]],StandardName[Ranking],$U$1))</f>
        <v>25</v>
      </c>
      <c r="V315" s="2">
        <f>IF(SUMIFS(StandardName[RankValueInTheRanking],StandardName[StandardizedName],THE_QS[[#This Row],[Nazwa uczelni]],StandardName[Ranking],$V$1)=0,$N$3,SUMIFS(StandardName[RankValueInTheRanking],StandardName[StandardizedName],THE_QS[[#This Row],[Nazwa uczelni]],StandardName[Ranking],$V$1))</f>
        <v>31</v>
      </c>
      <c r="W315" s="2">
        <f>IF(SUMIFS(StandardName[RankValueInTheRanking],StandardName[StandardizedName],THE_QS[[#This Row],[Nazwa uczelni]],StandardName[Ranking],$W$1)=0,$N$3,SUMIFS(StandardName[RankValueInTheRanking],StandardName[StandardizedName],THE_QS[[#This Row],[Nazwa uczelni]],StandardName[Ranking],$W$1))</f>
        <v>50</v>
      </c>
      <c r="X315" s="2">
        <f>IF(SUMIFS(StandardName[RankValueInTheRanking],StandardName[StandardizedName],THE_QS[[#This Row],[Nazwa uczelni]],StandardName[Ranking],$X$1)=0,$N$3,SUMIFS(StandardName[RankValueInTheRanking],StandardName[StandardizedName],THE_QS[[#This Row],[Nazwa uczelni]],StandardName[Ranking],$X$1))</f>
        <v>21</v>
      </c>
      <c r="Y315" s="2">
        <f>SUM(THE_QS[[#This Row],[THE_RV1000]:[Webometrics_RV1000]])</f>
        <v>127</v>
      </c>
      <c r="Z315" s="1">
        <v>25</v>
      </c>
      <c r="AA315" s="1">
        <v>31</v>
      </c>
      <c r="AB315" s="1">
        <v>50</v>
      </c>
      <c r="AC315" s="1">
        <v>21</v>
      </c>
    </row>
    <row r="316" spans="9:29" outlineLevel="1" x14ac:dyDescent="0.45">
      <c r="I316" t="s">
        <v>48</v>
      </c>
      <c r="J316">
        <v>14</v>
      </c>
      <c r="K316" t="s">
        <v>48</v>
      </c>
      <c r="L316">
        <v>14</v>
      </c>
      <c r="M316" t="s">
        <v>850</v>
      </c>
      <c r="O316" s="2" t="s">
        <v>157</v>
      </c>
      <c r="P316" s="2">
        <v>1</v>
      </c>
      <c r="Q316" s="2">
        <v>1</v>
      </c>
      <c r="R316" s="2">
        <v>1</v>
      </c>
      <c r="S316" s="2">
        <v>1</v>
      </c>
      <c r="T316" s="2">
        <v>4</v>
      </c>
      <c r="U316" s="2">
        <f>IF(SUMIFS(StandardName[RankValueInTheRanking],StandardName[StandardizedName],THE_QS[[#This Row],[Nazwa uczelni]],StandardName[Ranking],$U$1)=0,$N$3,SUMIFS(StandardName[RankValueInTheRanking],StandardName[StandardizedName],THE_QS[[#This Row],[Nazwa uczelni]],StandardName[Ranking],$U$1))</f>
        <v>26</v>
      </c>
      <c r="V316" s="2">
        <f>IF(SUMIFS(StandardName[RankValueInTheRanking],StandardName[StandardizedName],THE_QS[[#This Row],[Nazwa uczelni]],StandardName[Ranking],$V$1)=0,$N$3,SUMIFS(StandardName[RankValueInTheRanking],StandardName[StandardizedName],THE_QS[[#This Row],[Nazwa uczelni]],StandardName[Ranking],$V$1))</f>
        <v>17</v>
      </c>
      <c r="W316" s="2">
        <f>IF(SUMIFS(StandardName[RankValueInTheRanking],StandardName[StandardizedName],THE_QS[[#This Row],[Nazwa uczelni]],StandardName[Ranking],$W$1)=0,$N$3,SUMIFS(StandardName[RankValueInTheRanking],StandardName[StandardizedName],THE_QS[[#This Row],[Nazwa uczelni]],StandardName[Ranking],$W$1))</f>
        <v>80</v>
      </c>
      <c r="X316" s="2">
        <f>IF(SUMIFS(StandardName[RankValueInTheRanking],StandardName[StandardizedName],THE_QS[[#This Row],[Nazwa uczelni]],StandardName[Ranking],$X$1)=0,$N$3,SUMIFS(StandardName[RankValueInTheRanking],StandardName[StandardizedName],THE_QS[[#This Row],[Nazwa uczelni]],StandardName[Ranking],$X$1))</f>
        <v>7</v>
      </c>
      <c r="Y316" s="2">
        <f>SUM(THE_QS[[#This Row],[THE_RV1000]:[Webometrics_RV1000]])</f>
        <v>130</v>
      </c>
      <c r="Z316" s="2">
        <v>26</v>
      </c>
      <c r="AA316" s="2">
        <v>17</v>
      </c>
      <c r="AB316" s="2">
        <v>80</v>
      </c>
      <c r="AC316" s="2">
        <v>7</v>
      </c>
    </row>
    <row r="317" spans="9:29" outlineLevel="1" x14ac:dyDescent="0.45">
      <c r="I317" t="s">
        <v>796</v>
      </c>
      <c r="J317">
        <v>15</v>
      </c>
      <c r="K317" t="s">
        <v>796</v>
      </c>
      <c r="L317">
        <v>15</v>
      </c>
      <c r="M317" t="s">
        <v>850</v>
      </c>
      <c r="O317" s="1" t="s">
        <v>194</v>
      </c>
      <c r="P317" s="1">
        <v>1</v>
      </c>
      <c r="Q317" s="1">
        <v>1</v>
      </c>
      <c r="R317" s="1">
        <v>1</v>
      </c>
      <c r="S317" s="1">
        <v>1</v>
      </c>
      <c r="T317" s="1">
        <v>4</v>
      </c>
      <c r="U317" s="2">
        <f>IF(SUMIFS(StandardName[RankValueInTheRanking],StandardName[StandardizedName],THE_QS[[#This Row],[Nazwa uczelni]],StandardName[Ranking],$U$1)=0,$N$3,SUMIFS(StandardName[RankValueInTheRanking],StandardName[StandardizedName],THE_QS[[#This Row],[Nazwa uczelni]],StandardName[Ranking],$U$1))</f>
        <v>34</v>
      </c>
      <c r="V317" s="2">
        <f>IF(SUMIFS(StandardName[RankValueInTheRanking],StandardName[StandardizedName],THE_QS[[#This Row],[Nazwa uczelni]],StandardName[Ranking],$V$1)=0,$N$3,SUMIFS(StandardName[RankValueInTheRanking],StandardName[StandardizedName],THE_QS[[#This Row],[Nazwa uczelni]],StandardName[Ranking],$V$1))</f>
        <v>32</v>
      </c>
      <c r="W317" s="2">
        <f>IF(SUMIFS(StandardName[RankValueInTheRanking],StandardName[StandardizedName],THE_QS[[#This Row],[Nazwa uczelni]],StandardName[Ranking],$W$1)=0,$N$3,SUMIFS(StandardName[RankValueInTheRanking],StandardName[StandardizedName],THE_QS[[#This Row],[Nazwa uczelni]],StandardName[Ranking],$W$1))</f>
        <v>33</v>
      </c>
      <c r="X317" s="2">
        <f>IF(SUMIFS(StandardName[RankValueInTheRanking],StandardName[StandardizedName],THE_QS[[#This Row],[Nazwa uczelni]],StandardName[Ranking],$X$1)=0,$N$3,SUMIFS(StandardName[RankValueInTheRanking],StandardName[StandardizedName],THE_QS[[#This Row],[Nazwa uczelni]],StandardName[Ranking],$X$1))</f>
        <v>40</v>
      </c>
      <c r="Y317" s="2">
        <f>SUM(THE_QS[[#This Row],[THE_RV1000]:[Webometrics_RV1000]])</f>
        <v>139</v>
      </c>
      <c r="Z317" s="1">
        <v>34</v>
      </c>
      <c r="AA317" s="1">
        <v>32</v>
      </c>
      <c r="AB317" s="1">
        <v>33</v>
      </c>
      <c r="AC317" s="1">
        <v>40</v>
      </c>
    </row>
    <row r="318" spans="9:29" outlineLevel="1" x14ac:dyDescent="0.45">
      <c r="I318" t="s">
        <v>102</v>
      </c>
      <c r="J318">
        <v>16</v>
      </c>
      <c r="K318" t="s">
        <v>102</v>
      </c>
      <c r="L318">
        <v>16</v>
      </c>
      <c r="M318" t="s">
        <v>850</v>
      </c>
      <c r="O318" s="2" t="s">
        <v>110</v>
      </c>
      <c r="P318" s="2">
        <v>1</v>
      </c>
      <c r="Q318" s="2">
        <v>1</v>
      </c>
      <c r="R318" s="2">
        <v>1</v>
      </c>
      <c r="S318" s="2">
        <v>1</v>
      </c>
      <c r="T318" s="2">
        <v>4</v>
      </c>
      <c r="U318" s="2">
        <f>IF(SUMIFS(StandardName[RankValueInTheRanking],StandardName[StandardizedName],THE_QS[[#This Row],[Nazwa uczelni]],StandardName[Ranking],$U$1)=0,$N$3,SUMIFS(StandardName[RankValueInTheRanking],StandardName[StandardizedName],THE_QS[[#This Row],[Nazwa uczelni]],StandardName[Ranking],$U$1))</f>
        <v>19</v>
      </c>
      <c r="V318" s="2">
        <f>IF(SUMIFS(StandardName[RankValueInTheRanking],StandardName[StandardizedName],THE_QS[[#This Row],[Nazwa uczelni]],StandardName[Ranking],$V$1)=0,$N$3,SUMIFS(StandardName[RankValueInTheRanking],StandardName[StandardizedName],THE_QS[[#This Row],[Nazwa uczelni]],StandardName[Ranking],$V$1))</f>
        <v>71</v>
      </c>
      <c r="W318" s="2">
        <f>IF(SUMIFS(StandardName[RankValueInTheRanking],StandardName[StandardizedName],THE_QS[[#This Row],[Nazwa uczelni]],StandardName[Ranking],$W$1)=0,$N$3,SUMIFS(StandardName[RankValueInTheRanking],StandardName[StandardizedName],THE_QS[[#This Row],[Nazwa uczelni]],StandardName[Ranking],$W$1))</f>
        <v>11</v>
      </c>
      <c r="X318" s="2">
        <f>IF(SUMIFS(StandardName[RankValueInTheRanking],StandardName[StandardizedName],THE_QS[[#This Row],[Nazwa uczelni]],StandardName[Ranking],$X$1)=0,$N$3,SUMIFS(StandardName[RankValueInTheRanking],StandardName[StandardizedName],THE_QS[[#This Row],[Nazwa uczelni]],StandardName[Ranking],$X$1))</f>
        <v>47</v>
      </c>
      <c r="Y318" s="2">
        <f>SUM(THE_QS[[#This Row],[THE_RV1000]:[Webometrics_RV1000]])</f>
        <v>148</v>
      </c>
      <c r="Z318" s="2">
        <v>19</v>
      </c>
      <c r="AA318" s="2">
        <v>71</v>
      </c>
      <c r="AB318" s="2">
        <v>11</v>
      </c>
      <c r="AC318" s="2">
        <v>47</v>
      </c>
    </row>
    <row r="319" spans="9:29" outlineLevel="1" x14ac:dyDescent="0.45">
      <c r="I319" t="s">
        <v>797</v>
      </c>
      <c r="J319">
        <v>17</v>
      </c>
      <c r="K319" t="s">
        <v>797</v>
      </c>
      <c r="L319">
        <v>17</v>
      </c>
      <c r="M319" t="s">
        <v>850</v>
      </c>
      <c r="O319" s="1" t="s">
        <v>854</v>
      </c>
      <c r="P319" s="1">
        <v>1</v>
      </c>
      <c r="Q319" s="1">
        <v>1</v>
      </c>
      <c r="R319" s="1">
        <v>1</v>
      </c>
      <c r="S319" s="1">
        <v>1</v>
      </c>
      <c r="T319" s="1">
        <v>4</v>
      </c>
      <c r="U319" s="2">
        <f>IF(SUMIFS(StandardName[RankValueInTheRanking],StandardName[StandardizedName],THE_QS[[#This Row],[Nazwa uczelni]],StandardName[Ranking],$U$1)=0,$N$3,SUMIFS(StandardName[RankValueInTheRanking],StandardName[StandardizedName],THE_QS[[#This Row],[Nazwa uczelni]],StandardName[Ranking],$U$1))</f>
        <v>39</v>
      </c>
      <c r="V319" s="2">
        <f>IF(SUMIFS(StandardName[RankValueInTheRanking],StandardName[StandardizedName],THE_QS[[#This Row],[Nazwa uczelni]],StandardName[Ranking],$V$1)=0,$N$3,SUMIFS(StandardName[RankValueInTheRanking],StandardName[StandardizedName],THE_QS[[#This Row],[Nazwa uczelni]],StandardName[Ranking],$V$1))</f>
        <v>24</v>
      </c>
      <c r="W319" s="2">
        <f>IF(SUMIFS(StandardName[RankValueInTheRanking],StandardName[StandardizedName],THE_QS[[#This Row],[Nazwa uczelni]],StandardName[Ranking],$W$1)=0,$N$3,SUMIFS(StandardName[RankValueInTheRanking],StandardName[StandardizedName],THE_QS[[#This Row],[Nazwa uczelni]],StandardName[Ranking],$W$1))</f>
        <v>23</v>
      </c>
      <c r="X319" s="2">
        <f>IF(SUMIFS(StandardName[RankValueInTheRanking],StandardName[StandardizedName],THE_QS[[#This Row],[Nazwa uczelni]],StandardName[Ranking],$X$1)=0,$N$3,SUMIFS(StandardName[RankValueInTheRanking],StandardName[StandardizedName],THE_QS[[#This Row],[Nazwa uczelni]],StandardName[Ranking],$X$1))</f>
        <v>66</v>
      </c>
      <c r="Y319" s="2">
        <f>SUM(THE_QS[[#This Row],[THE_RV1000]:[Webometrics_RV1000]])</f>
        <v>152</v>
      </c>
      <c r="Z319" s="1">
        <v>39</v>
      </c>
      <c r="AA319" s="1">
        <v>24</v>
      </c>
      <c r="AB319" s="1">
        <v>23</v>
      </c>
      <c r="AC319" s="1">
        <v>66</v>
      </c>
    </row>
    <row r="320" spans="9:29" outlineLevel="1" x14ac:dyDescent="0.45">
      <c r="I320" t="s">
        <v>798</v>
      </c>
      <c r="J320">
        <v>18</v>
      </c>
      <c r="K320" t="s">
        <v>556</v>
      </c>
      <c r="L320">
        <v>18</v>
      </c>
      <c r="M320" t="s">
        <v>850</v>
      </c>
      <c r="O320" s="2" t="s">
        <v>225</v>
      </c>
      <c r="P320" s="2">
        <v>1</v>
      </c>
      <c r="Q320" s="2">
        <v>1</v>
      </c>
      <c r="R320" s="2">
        <v>1</v>
      </c>
      <c r="S320" s="2">
        <v>1</v>
      </c>
      <c r="T320" s="2">
        <v>4</v>
      </c>
      <c r="U320" s="2">
        <f>IF(SUMIFS(StandardName[RankValueInTheRanking],StandardName[StandardizedName],THE_QS[[#This Row],[Nazwa uczelni]],StandardName[Ranking],$U$1)=0,$N$3,SUMIFS(StandardName[RankValueInTheRanking],StandardName[StandardizedName],THE_QS[[#This Row],[Nazwa uczelni]],StandardName[Ranking],$U$1))</f>
        <v>40</v>
      </c>
      <c r="V320" s="2">
        <f>IF(SUMIFS(StandardName[RankValueInTheRanking],StandardName[StandardizedName],THE_QS[[#This Row],[Nazwa uczelni]],StandardName[Ranking],$V$1)=0,$N$3,SUMIFS(StandardName[RankValueInTheRanking],StandardName[StandardizedName],THE_QS[[#This Row],[Nazwa uczelni]],StandardName[Ranking],$V$1))</f>
        <v>44</v>
      </c>
      <c r="W320" s="2">
        <f>IF(SUMIFS(StandardName[RankValueInTheRanking],StandardName[StandardizedName],THE_QS[[#This Row],[Nazwa uczelni]],StandardName[Ranking],$W$1)=0,$N$3,SUMIFS(StandardName[RankValueInTheRanking],StandardName[StandardizedName],THE_QS[[#This Row],[Nazwa uczelni]],StandardName[Ranking],$W$1))</f>
        <v>47</v>
      </c>
      <c r="X320" s="2">
        <f>IF(SUMIFS(StandardName[RankValueInTheRanking],StandardName[StandardizedName],THE_QS[[#This Row],[Nazwa uczelni]],StandardName[Ranking],$X$1)=0,$N$3,SUMIFS(StandardName[RankValueInTheRanking],StandardName[StandardizedName],THE_QS[[#This Row],[Nazwa uczelni]],StandardName[Ranking],$X$1))</f>
        <v>27</v>
      </c>
      <c r="Y320" s="2">
        <f>SUM(THE_QS[[#This Row],[THE_RV1000]:[Webometrics_RV1000]])</f>
        <v>158</v>
      </c>
      <c r="Z320" s="2">
        <v>40</v>
      </c>
      <c r="AA320" s="2">
        <v>44</v>
      </c>
      <c r="AB320" s="2">
        <v>47</v>
      </c>
      <c r="AC320" s="2">
        <v>27</v>
      </c>
    </row>
    <row r="321" spans="9:29" outlineLevel="1" x14ac:dyDescent="0.45">
      <c r="I321" t="s">
        <v>765</v>
      </c>
      <c r="J321">
        <v>19</v>
      </c>
      <c r="K321" t="s">
        <v>765</v>
      </c>
      <c r="L321">
        <v>19</v>
      </c>
      <c r="M321" t="s">
        <v>850</v>
      </c>
      <c r="O321" s="1" t="s">
        <v>296</v>
      </c>
      <c r="P321" s="1">
        <v>1</v>
      </c>
      <c r="Q321" s="1">
        <v>1</v>
      </c>
      <c r="R321" s="1">
        <v>1</v>
      </c>
      <c r="S321" s="1">
        <v>1</v>
      </c>
      <c r="T321" s="1">
        <v>4</v>
      </c>
      <c r="U321" s="2">
        <f>IF(SUMIFS(StandardName[RankValueInTheRanking],StandardName[StandardizedName],THE_QS[[#This Row],[Nazwa uczelni]],StandardName[Ranking],$U$1)=0,$N$3,SUMIFS(StandardName[RankValueInTheRanking],StandardName[StandardizedName],THE_QS[[#This Row],[Nazwa uczelni]],StandardName[Ranking],$U$1))</f>
        <v>54</v>
      </c>
      <c r="V321" s="2">
        <f>IF(SUMIFS(StandardName[RankValueInTheRanking],StandardName[StandardizedName],THE_QS[[#This Row],[Nazwa uczelni]],StandardName[Ranking],$V$1)=0,$N$3,SUMIFS(StandardName[RankValueInTheRanking],StandardName[StandardizedName],THE_QS[[#This Row],[Nazwa uczelni]],StandardName[Ranking],$V$1))</f>
        <v>38</v>
      </c>
      <c r="W321" s="2">
        <f>IF(SUMIFS(StandardName[RankValueInTheRanking],StandardName[StandardizedName],THE_QS[[#This Row],[Nazwa uczelni]],StandardName[Ranking],$W$1)=0,$N$3,SUMIFS(StandardName[RankValueInTheRanking],StandardName[StandardizedName],THE_QS[[#This Row],[Nazwa uczelni]],StandardName[Ranking],$W$1))</f>
        <v>28</v>
      </c>
      <c r="X321" s="2">
        <f>IF(SUMIFS(StandardName[RankValueInTheRanking],StandardName[StandardizedName],THE_QS[[#This Row],[Nazwa uczelni]],StandardName[Ranking],$X$1)=0,$N$3,SUMIFS(StandardName[RankValueInTheRanking],StandardName[StandardizedName],THE_QS[[#This Row],[Nazwa uczelni]],StandardName[Ranking],$X$1))</f>
        <v>61</v>
      </c>
      <c r="Y321" s="2">
        <f>SUM(THE_QS[[#This Row],[THE_RV1000]:[Webometrics_RV1000]])</f>
        <v>181</v>
      </c>
      <c r="Z321" s="1">
        <v>54</v>
      </c>
      <c r="AA321" s="1">
        <v>38</v>
      </c>
      <c r="AB321" s="1">
        <v>28</v>
      </c>
      <c r="AC321" s="1">
        <v>61</v>
      </c>
    </row>
    <row r="322" spans="9:29" outlineLevel="1" x14ac:dyDescent="0.45">
      <c r="I322" t="s">
        <v>799</v>
      </c>
      <c r="J322">
        <v>20</v>
      </c>
      <c r="K322" t="s">
        <v>412</v>
      </c>
      <c r="L322">
        <v>20</v>
      </c>
      <c r="M322" t="s">
        <v>850</v>
      </c>
      <c r="O322" s="2" t="s">
        <v>276</v>
      </c>
      <c r="P322" s="2">
        <v>1</v>
      </c>
      <c r="Q322" s="2">
        <v>1</v>
      </c>
      <c r="R322" s="2">
        <v>1</v>
      </c>
      <c r="S322" s="2">
        <v>1</v>
      </c>
      <c r="T322" s="2">
        <v>4</v>
      </c>
      <c r="U322" s="2">
        <f>IF(SUMIFS(StandardName[RankValueInTheRanking],StandardName[StandardizedName],THE_QS[[#This Row],[Nazwa uczelni]],StandardName[Ranking],$U$1)=0,$N$3,SUMIFS(StandardName[RankValueInTheRanking],StandardName[StandardizedName],THE_QS[[#This Row],[Nazwa uczelni]],StandardName[Ranking],$U$1))</f>
        <v>50</v>
      </c>
      <c r="V322" s="2">
        <f>IF(SUMIFS(StandardName[RankValueInTheRanking],StandardName[StandardizedName],THE_QS[[#This Row],[Nazwa uczelni]],StandardName[Ranking],$V$1)=0,$N$3,SUMIFS(StandardName[RankValueInTheRanking],StandardName[StandardizedName],THE_QS[[#This Row],[Nazwa uczelni]],StandardName[Ranking],$V$1))</f>
        <v>37</v>
      </c>
      <c r="W322" s="2">
        <f>IF(SUMIFS(StandardName[RankValueInTheRanking],StandardName[StandardizedName],THE_QS[[#This Row],[Nazwa uczelni]],StandardName[Ranking],$W$1)=0,$N$3,SUMIFS(StandardName[RankValueInTheRanking],StandardName[StandardizedName],THE_QS[[#This Row],[Nazwa uczelni]],StandardName[Ranking],$W$1))</f>
        <v>72</v>
      </c>
      <c r="X322" s="2">
        <f>IF(SUMIFS(StandardName[RankValueInTheRanking],StandardName[StandardizedName],THE_QS[[#This Row],[Nazwa uczelni]],StandardName[Ranking],$X$1)=0,$N$3,SUMIFS(StandardName[RankValueInTheRanking],StandardName[StandardizedName],THE_QS[[#This Row],[Nazwa uczelni]],StandardName[Ranking],$X$1))</f>
        <v>25</v>
      </c>
      <c r="Y322" s="2">
        <f>SUM(THE_QS[[#This Row],[THE_RV1000]:[Webometrics_RV1000]])</f>
        <v>184</v>
      </c>
      <c r="Z322" s="2">
        <v>50</v>
      </c>
      <c r="AA322" s="2">
        <v>37</v>
      </c>
      <c r="AB322" s="2">
        <v>72</v>
      </c>
      <c r="AC322" s="2">
        <v>25</v>
      </c>
    </row>
    <row r="323" spans="9:29" outlineLevel="1" x14ac:dyDescent="0.45">
      <c r="I323" t="s">
        <v>145</v>
      </c>
      <c r="J323">
        <v>21</v>
      </c>
      <c r="K323" t="s">
        <v>145</v>
      </c>
      <c r="L323">
        <v>21</v>
      </c>
      <c r="M323" t="s">
        <v>850</v>
      </c>
      <c r="O323" s="1" t="s">
        <v>199</v>
      </c>
      <c r="P323" s="1">
        <v>1</v>
      </c>
      <c r="Q323" s="1">
        <v>1</v>
      </c>
      <c r="R323" s="1">
        <v>1</v>
      </c>
      <c r="S323" s="1">
        <v>1</v>
      </c>
      <c r="T323" s="1">
        <v>4</v>
      </c>
      <c r="U323" s="2">
        <f>IF(SUMIFS(StandardName[RankValueInTheRanking],StandardName[StandardizedName],THE_QS[[#This Row],[Nazwa uczelni]],StandardName[Ranking],$U$1)=0,$N$3,SUMIFS(StandardName[RankValueInTheRanking],StandardName[StandardizedName],THE_QS[[#This Row],[Nazwa uczelni]],StandardName[Ranking],$U$1))</f>
        <v>35</v>
      </c>
      <c r="V323" s="2">
        <f>IF(SUMIFS(StandardName[RankValueInTheRanking],StandardName[StandardizedName],THE_QS[[#This Row],[Nazwa uczelni]],StandardName[Ranking],$V$1)=0,$N$3,SUMIFS(StandardName[RankValueInTheRanking],StandardName[StandardizedName],THE_QS[[#This Row],[Nazwa uczelni]],StandardName[Ranking],$V$1))</f>
        <v>48</v>
      </c>
      <c r="W323" s="2">
        <f>IF(SUMIFS(StandardName[RankValueInTheRanking],StandardName[StandardizedName],THE_QS[[#This Row],[Nazwa uczelni]],StandardName[Ranking],$W$1)=0,$N$3,SUMIFS(StandardName[RankValueInTheRanking],StandardName[StandardizedName],THE_QS[[#This Row],[Nazwa uczelni]],StandardName[Ranking],$W$1))</f>
        <v>37</v>
      </c>
      <c r="X323" s="2">
        <f>IF(SUMIFS(StandardName[RankValueInTheRanking],StandardName[StandardizedName],THE_QS[[#This Row],[Nazwa uczelni]],StandardName[Ranking],$X$1)=0,$N$3,SUMIFS(StandardName[RankValueInTheRanking],StandardName[StandardizedName],THE_QS[[#This Row],[Nazwa uczelni]],StandardName[Ranking],$X$1))</f>
        <v>67</v>
      </c>
      <c r="Y323" s="2">
        <f>SUM(THE_QS[[#This Row],[THE_RV1000]:[Webometrics_RV1000]])</f>
        <v>187</v>
      </c>
      <c r="Z323" s="1">
        <v>35</v>
      </c>
      <c r="AA323" s="1">
        <v>48</v>
      </c>
      <c r="AB323" s="1">
        <v>37</v>
      </c>
      <c r="AC323" s="1">
        <v>67</v>
      </c>
    </row>
    <row r="324" spans="9:29" outlineLevel="1" x14ac:dyDescent="0.45">
      <c r="I324" t="s">
        <v>151</v>
      </c>
      <c r="J324">
        <v>22</v>
      </c>
      <c r="K324" t="s">
        <v>151</v>
      </c>
      <c r="L324">
        <v>22</v>
      </c>
      <c r="M324" t="s">
        <v>850</v>
      </c>
      <c r="O324" s="2" t="s">
        <v>816</v>
      </c>
      <c r="P324" s="2">
        <v>1</v>
      </c>
      <c r="Q324" s="2">
        <v>1</v>
      </c>
      <c r="R324" s="2">
        <v>1</v>
      </c>
      <c r="S324" s="2">
        <v>1</v>
      </c>
      <c r="T324" s="2">
        <v>4</v>
      </c>
      <c r="U324" s="2">
        <f>IF(SUMIFS(StandardName[RankValueInTheRanking],StandardName[StandardizedName],THE_QS[[#This Row],[Nazwa uczelni]],StandardName[Ranking],$U$1)=0,$N$3,SUMIFS(StandardName[RankValueInTheRanking],StandardName[StandardizedName],THE_QS[[#This Row],[Nazwa uczelni]],StandardName[Ranking],$U$1))</f>
        <v>53</v>
      </c>
      <c r="V324" s="2">
        <f>IF(SUMIFS(StandardName[RankValueInTheRanking],StandardName[StandardizedName],THE_QS[[#This Row],[Nazwa uczelni]],StandardName[Ranking],$V$1)=0,$N$3,SUMIFS(StandardName[RankValueInTheRanking],StandardName[StandardizedName],THE_QS[[#This Row],[Nazwa uczelni]],StandardName[Ranking],$V$1))</f>
        <v>47</v>
      </c>
      <c r="W324" s="2">
        <f>IF(SUMIFS(StandardName[RankValueInTheRanking],StandardName[StandardizedName],THE_QS[[#This Row],[Nazwa uczelni]],StandardName[Ranking],$W$1)=0,$N$3,SUMIFS(StandardName[RankValueInTheRanking],StandardName[StandardizedName],THE_QS[[#This Row],[Nazwa uczelni]],StandardName[Ranking],$W$1))</f>
        <v>50</v>
      </c>
      <c r="X324" s="2">
        <f>IF(SUMIFS(StandardName[RankValueInTheRanking],StandardName[StandardizedName],THE_QS[[#This Row],[Nazwa uczelni]],StandardName[Ranking],$X$1)=0,$N$3,SUMIFS(StandardName[RankValueInTheRanking],StandardName[StandardizedName],THE_QS[[#This Row],[Nazwa uczelni]],StandardName[Ranking],$X$1))</f>
        <v>52</v>
      </c>
      <c r="Y324" s="2">
        <f>SUM(THE_QS[[#This Row],[THE_RV1000]:[Webometrics_RV1000]])</f>
        <v>202</v>
      </c>
      <c r="Z324" s="2">
        <v>53</v>
      </c>
      <c r="AA324" s="2">
        <v>47</v>
      </c>
      <c r="AB324" s="2">
        <v>50</v>
      </c>
      <c r="AC324" s="2">
        <v>52</v>
      </c>
    </row>
    <row r="325" spans="9:29" outlineLevel="1" x14ac:dyDescent="0.45">
      <c r="I325" t="s">
        <v>139</v>
      </c>
      <c r="J325">
        <v>23</v>
      </c>
      <c r="K325" t="s">
        <v>139</v>
      </c>
      <c r="L325">
        <v>23</v>
      </c>
      <c r="M325" t="s">
        <v>850</v>
      </c>
      <c r="O325" s="1" t="s">
        <v>572</v>
      </c>
      <c r="P325" s="1">
        <v>1</v>
      </c>
      <c r="Q325" s="1">
        <v>1</v>
      </c>
      <c r="R325" s="1">
        <v>1</v>
      </c>
      <c r="S325" s="1">
        <v>1</v>
      </c>
      <c r="T325" s="1">
        <v>4</v>
      </c>
      <c r="U325" s="2">
        <f>IF(SUMIFS(StandardName[RankValueInTheRanking],StandardName[StandardizedName],THE_QS[[#This Row],[Nazwa uczelni]],StandardName[Ranking],$U$1)=0,$N$3,SUMIFS(StandardName[RankValueInTheRanking],StandardName[StandardizedName],THE_QS[[#This Row],[Nazwa uczelni]],StandardName[Ranking],$U$1))</f>
        <v>54</v>
      </c>
      <c r="V325" s="2">
        <f>IF(SUMIFS(StandardName[RankValueInTheRanking],StandardName[StandardizedName],THE_QS[[#This Row],[Nazwa uczelni]],StandardName[Ranking],$V$1)=0,$N$3,SUMIFS(StandardName[RankValueInTheRanking],StandardName[StandardizedName],THE_QS[[#This Row],[Nazwa uczelni]],StandardName[Ranking],$V$1))</f>
        <v>60</v>
      </c>
      <c r="W325" s="2">
        <f>IF(SUMIFS(StandardName[RankValueInTheRanking],StandardName[StandardizedName],THE_QS[[#This Row],[Nazwa uczelni]],StandardName[Ranking],$W$1)=0,$N$3,SUMIFS(StandardName[RankValueInTheRanking],StandardName[StandardizedName],THE_QS[[#This Row],[Nazwa uczelni]],StandardName[Ranking],$W$1))</f>
        <v>41</v>
      </c>
      <c r="X325" s="2">
        <f>IF(SUMIFS(StandardName[RankValueInTheRanking],StandardName[StandardizedName],THE_QS[[#This Row],[Nazwa uczelni]],StandardName[Ranking],$X$1)=0,$N$3,SUMIFS(StandardName[RankValueInTheRanking],StandardName[StandardizedName],THE_QS[[#This Row],[Nazwa uczelni]],StandardName[Ranking],$X$1))</f>
        <v>50</v>
      </c>
      <c r="Y325" s="2">
        <f>SUM(THE_QS[[#This Row],[THE_RV1000]:[Webometrics_RV1000]])</f>
        <v>205</v>
      </c>
      <c r="Z325" s="1">
        <v>54</v>
      </c>
      <c r="AA325" s="1">
        <v>60</v>
      </c>
      <c r="AB325" s="1">
        <v>41</v>
      </c>
      <c r="AC325" s="1">
        <v>50</v>
      </c>
    </row>
    <row r="326" spans="9:29" outlineLevel="1" x14ac:dyDescent="0.45">
      <c r="I326" t="s">
        <v>800</v>
      </c>
      <c r="J326">
        <v>24</v>
      </c>
      <c r="K326" t="s">
        <v>89</v>
      </c>
      <c r="L326">
        <v>24</v>
      </c>
      <c r="M326" t="s">
        <v>850</v>
      </c>
      <c r="O326" s="2" t="s">
        <v>253</v>
      </c>
      <c r="P326" s="2">
        <v>1</v>
      </c>
      <c r="Q326" s="2">
        <v>1</v>
      </c>
      <c r="R326" s="2">
        <v>1</v>
      </c>
      <c r="S326" s="2">
        <v>1</v>
      </c>
      <c r="T326" s="2">
        <v>4</v>
      </c>
      <c r="U326" s="2">
        <f>IF(SUMIFS(StandardName[RankValueInTheRanking],StandardName[StandardizedName],THE_QS[[#This Row],[Nazwa uczelni]],StandardName[Ranking],$U$1)=0,$N$3,SUMIFS(StandardName[RankValueInTheRanking],StandardName[StandardizedName],THE_QS[[#This Row],[Nazwa uczelni]],StandardName[Ranking],$U$1))</f>
        <v>46</v>
      </c>
      <c r="V326" s="2">
        <f>IF(SUMIFS(StandardName[RankValueInTheRanking],StandardName[StandardizedName],THE_QS[[#This Row],[Nazwa uczelni]],StandardName[Ranking],$V$1)=0,$N$3,SUMIFS(StandardName[RankValueInTheRanking],StandardName[StandardizedName],THE_QS[[#This Row],[Nazwa uczelni]],StandardName[Ranking],$V$1))</f>
        <v>73</v>
      </c>
      <c r="W326" s="2">
        <f>IF(SUMIFS(StandardName[RankValueInTheRanking],StandardName[StandardizedName],THE_QS[[#This Row],[Nazwa uczelni]],StandardName[Ranking],$W$1)=0,$N$3,SUMIFS(StandardName[RankValueInTheRanking],StandardName[StandardizedName],THE_QS[[#This Row],[Nazwa uczelni]],StandardName[Ranking],$W$1))</f>
        <v>31</v>
      </c>
      <c r="X326" s="2">
        <f>IF(SUMIFS(StandardName[RankValueInTheRanking],StandardName[StandardizedName],THE_QS[[#This Row],[Nazwa uczelni]],StandardName[Ranking],$X$1)=0,$N$3,SUMIFS(StandardName[RankValueInTheRanking],StandardName[StandardizedName],THE_QS[[#This Row],[Nazwa uczelni]],StandardName[Ranking],$X$1))</f>
        <v>60</v>
      </c>
      <c r="Y326" s="2">
        <f>SUM(THE_QS[[#This Row],[THE_RV1000]:[Webometrics_RV1000]])</f>
        <v>210</v>
      </c>
      <c r="Z326" s="2">
        <v>46</v>
      </c>
      <c r="AA326" s="2">
        <v>73</v>
      </c>
      <c r="AB326" s="2">
        <v>31</v>
      </c>
      <c r="AC326" s="2">
        <v>60</v>
      </c>
    </row>
    <row r="327" spans="9:29" outlineLevel="1" x14ac:dyDescent="0.45">
      <c r="I327" t="s">
        <v>801</v>
      </c>
      <c r="J327">
        <v>25</v>
      </c>
      <c r="K327" t="s">
        <v>276</v>
      </c>
      <c r="L327">
        <v>25</v>
      </c>
      <c r="M327" t="s">
        <v>850</v>
      </c>
      <c r="O327" s="1" t="s">
        <v>355</v>
      </c>
      <c r="P327" s="1">
        <v>1</v>
      </c>
      <c r="Q327" s="1">
        <v>1</v>
      </c>
      <c r="R327" s="1">
        <v>1</v>
      </c>
      <c r="S327" s="1">
        <v>1</v>
      </c>
      <c r="T327" s="1">
        <v>4</v>
      </c>
      <c r="U327" s="2">
        <f>IF(SUMIFS(StandardName[RankValueInTheRanking],StandardName[StandardizedName],THE_QS[[#This Row],[Nazwa uczelni]],StandardName[Ranking],$U$1)=0,$N$3,SUMIFS(StandardName[RankValueInTheRanking],StandardName[StandardizedName],THE_QS[[#This Row],[Nazwa uczelni]],StandardName[Ranking],$U$1))</f>
        <v>67</v>
      </c>
      <c r="V327" s="2">
        <f>IF(SUMIFS(StandardName[RankValueInTheRanking],StandardName[StandardizedName],THE_QS[[#This Row],[Nazwa uczelni]],StandardName[Ranking],$V$1)=0,$N$3,SUMIFS(StandardName[RankValueInTheRanking],StandardName[StandardizedName],THE_QS[[#This Row],[Nazwa uczelni]],StandardName[Ranking],$V$1))</f>
        <v>36</v>
      </c>
      <c r="W327" s="2">
        <f>IF(SUMIFS(StandardName[RankValueInTheRanking],StandardName[StandardizedName],THE_QS[[#This Row],[Nazwa uczelni]],StandardName[Ranking],$W$1)=0,$N$3,SUMIFS(StandardName[RankValueInTheRanking],StandardName[StandardizedName],THE_QS[[#This Row],[Nazwa uczelni]],StandardName[Ranking],$W$1))</f>
        <v>42</v>
      </c>
      <c r="X327" s="2">
        <f>IF(SUMIFS(StandardName[RankValueInTheRanking],StandardName[StandardizedName],THE_QS[[#This Row],[Nazwa uczelni]],StandardName[Ranking],$X$1)=0,$N$3,SUMIFS(StandardName[RankValueInTheRanking],StandardName[StandardizedName],THE_QS[[#This Row],[Nazwa uczelni]],StandardName[Ranking],$X$1))</f>
        <v>68</v>
      </c>
      <c r="Y327" s="2">
        <f>SUM(THE_QS[[#This Row],[THE_RV1000]:[Webometrics_RV1000]])</f>
        <v>213</v>
      </c>
      <c r="Z327" s="1">
        <v>67</v>
      </c>
      <c r="AA327" s="1">
        <v>36</v>
      </c>
      <c r="AB327" s="1">
        <v>42</v>
      </c>
      <c r="AC327" s="1">
        <v>68</v>
      </c>
    </row>
    <row r="328" spans="9:29" outlineLevel="1" x14ac:dyDescent="0.45">
      <c r="I328" t="s">
        <v>36</v>
      </c>
      <c r="J328">
        <v>26</v>
      </c>
      <c r="K328" t="s">
        <v>36</v>
      </c>
      <c r="L328">
        <v>26</v>
      </c>
      <c r="M328" t="s">
        <v>850</v>
      </c>
      <c r="O328" s="2" t="s">
        <v>266</v>
      </c>
      <c r="P328" s="2">
        <v>1</v>
      </c>
      <c r="Q328" s="2">
        <v>1</v>
      </c>
      <c r="R328" s="2">
        <v>1</v>
      </c>
      <c r="S328" s="2">
        <v>1</v>
      </c>
      <c r="T328" s="2">
        <v>4</v>
      </c>
      <c r="U328" s="2">
        <f>IF(SUMIFS(StandardName[RankValueInTheRanking],StandardName[StandardizedName],THE_QS[[#This Row],[Nazwa uczelni]],StandardName[Ranking],$U$1)=0,$N$3,SUMIFS(StandardName[RankValueInTheRanking],StandardName[StandardizedName],THE_QS[[#This Row],[Nazwa uczelni]],StandardName[Ranking],$U$1))</f>
        <v>48</v>
      </c>
      <c r="V328" s="2">
        <f>IF(SUMIFS(StandardName[RankValueInTheRanking],StandardName[StandardizedName],THE_QS[[#This Row],[Nazwa uczelni]],StandardName[Ranking],$V$1)=0,$N$3,SUMIFS(StandardName[RankValueInTheRanking],StandardName[StandardizedName],THE_QS[[#This Row],[Nazwa uczelni]],StandardName[Ranking],$V$1))</f>
        <v>49</v>
      </c>
      <c r="W328" s="2">
        <f>IF(SUMIFS(StandardName[RankValueInTheRanking],StandardName[StandardizedName],THE_QS[[#This Row],[Nazwa uczelni]],StandardName[Ranking],$W$1)=0,$N$3,SUMIFS(StandardName[RankValueInTheRanking],StandardName[StandardizedName],THE_QS[[#This Row],[Nazwa uczelni]],StandardName[Ranking],$W$1))</f>
        <v>85</v>
      </c>
      <c r="X328" s="2">
        <f>IF(SUMIFS(StandardName[RankValueInTheRanking],StandardName[StandardizedName],THE_QS[[#This Row],[Nazwa uczelni]],StandardName[Ranking],$X$1)=0,$N$3,SUMIFS(StandardName[RankValueInTheRanking],StandardName[StandardizedName],THE_QS[[#This Row],[Nazwa uczelni]],StandardName[Ranking],$X$1))</f>
        <v>33</v>
      </c>
      <c r="Y328" s="2">
        <f>SUM(THE_QS[[#This Row],[THE_RV1000]:[Webometrics_RV1000]])</f>
        <v>215</v>
      </c>
      <c r="Z328" s="2">
        <v>48</v>
      </c>
      <c r="AA328" s="2">
        <v>49</v>
      </c>
      <c r="AB328" s="2">
        <v>85</v>
      </c>
      <c r="AC328" s="2">
        <v>33</v>
      </c>
    </row>
    <row r="329" spans="9:29" outlineLevel="1" x14ac:dyDescent="0.45">
      <c r="I329" t="s">
        <v>225</v>
      </c>
      <c r="J329">
        <v>27</v>
      </c>
      <c r="K329" t="s">
        <v>225</v>
      </c>
      <c r="L329">
        <v>27</v>
      </c>
      <c r="M329" t="s">
        <v>850</v>
      </c>
      <c r="O329" s="1" t="s">
        <v>412</v>
      </c>
      <c r="P329" s="1">
        <v>1</v>
      </c>
      <c r="Q329" s="1">
        <v>1</v>
      </c>
      <c r="R329" s="1">
        <v>1</v>
      </c>
      <c r="S329" s="1">
        <v>1</v>
      </c>
      <c r="T329" s="1">
        <v>4</v>
      </c>
      <c r="U329" s="2">
        <f>IF(SUMIFS(StandardName[RankValueInTheRanking],StandardName[StandardizedName],THE_QS[[#This Row],[Nazwa uczelni]],StandardName[Ranking],$U$1)=0,$N$3,SUMIFS(StandardName[RankValueInTheRanking],StandardName[StandardizedName],THE_QS[[#This Row],[Nazwa uczelni]],StandardName[Ranking],$U$1))</f>
        <v>81</v>
      </c>
      <c r="V329" s="2">
        <f>IF(SUMIFS(StandardName[RankValueInTheRanking],StandardName[StandardizedName],THE_QS[[#This Row],[Nazwa uczelni]],StandardName[Ranking],$V$1)=0,$N$3,SUMIFS(StandardName[RankValueInTheRanking],StandardName[StandardizedName],THE_QS[[#This Row],[Nazwa uczelni]],StandardName[Ranking],$V$1))</f>
        <v>33</v>
      </c>
      <c r="W329" s="2">
        <f>IF(SUMIFS(StandardName[RankValueInTheRanking],StandardName[StandardizedName],THE_QS[[#This Row],[Nazwa uczelni]],StandardName[Ranking],$W$1)=0,$N$3,SUMIFS(StandardName[RankValueInTheRanking],StandardName[StandardizedName],THE_QS[[#This Row],[Nazwa uczelni]],StandardName[Ranking],$W$1))</f>
        <v>83</v>
      </c>
      <c r="X329" s="2">
        <f>IF(SUMIFS(StandardName[RankValueInTheRanking],StandardName[StandardizedName],THE_QS[[#This Row],[Nazwa uczelni]],StandardName[Ranking],$X$1)=0,$N$3,SUMIFS(StandardName[RankValueInTheRanking],StandardName[StandardizedName],THE_QS[[#This Row],[Nazwa uczelni]],StandardName[Ranking],$X$1))</f>
        <v>20</v>
      </c>
      <c r="Y329" s="2">
        <f>SUM(THE_QS[[#This Row],[THE_RV1000]:[Webometrics_RV1000]])</f>
        <v>217</v>
      </c>
      <c r="Z329" s="1">
        <v>81</v>
      </c>
      <c r="AA329" s="1">
        <v>33</v>
      </c>
      <c r="AB329" s="1">
        <v>83</v>
      </c>
      <c r="AC329" s="1">
        <v>20</v>
      </c>
    </row>
    <row r="330" spans="9:29" outlineLevel="1" x14ac:dyDescent="0.45">
      <c r="I330" t="s">
        <v>802</v>
      </c>
      <c r="J330">
        <v>28</v>
      </c>
      <c r="K330" t="s">
        <v>366</v>
      </c>
      <c r="L330">
        <v>28</v>
      </c>
      <c r="M330" t="s">
        <v>850</v>
      </c>
      <c r="O330" s="2" t="s">
        <v>286</v>
      </c>
      <c r="P330" s="2">
        <v>1</v>
      </c>
      <c r="Q330" s="2">
        <v>1</v>
      </c>
      <c r="R330" s="2">
        <v>1</v>
      </c>
      <c r="S330" s="2">
        <v>1</v>
      </c>
      <c r="T330" s="2">
        <v>4</v>
      </c>
      <c r="U330" s="2">
        <f>IF(SUMIFS(StandardName[RankValueInTheRanking],StandardName[StandardizedName],THE_QS[[#This Row],[Nazwa uczelni]],StandardName[Ranking],$U$1)=0,$N$3,SUMIFS(StandardName[RankValueInTheRanking],StandardName[StandardizedName],THE_QS[[#This Row],[Nazwa uczelni]],StandardName[Ranking],$U$1))</f>
        <v>52</v>
      </c>
      <c r="V330" s="2">
        <f>IF(SUMIFS(StandardName[RankValueInTheRanking],StandardName[StandardizedName],THE_QS[[#This Row],[Nazwa uczelni]],StandardName[Ranking],$V$1)=0,$N$3,SUMIFS(StandardName[RankValueInTheRanking],StandardName[StandardizedName],THE_QS[[#This Row],[Nazwa uczelni]],StandardName[Ranking],$V$1))</f>
        <v>54</v>
      </c>
      <c r="W330" s="2">
        <f>IF(SUMIFS(StandardName[RankValueInTheRanking],StandardName[StandardizedName],THE_QS[[#This Row],[Nazwa uczelni]],StandardName[Ranking],$W$1)=0,$N$3,SUMIFS(StandardName[RankValueInTheRanking],StandardName[StandardizedName],THE_QS[[#This Row],[Nazwa uczelni]],StandardName[Ranking],$W$1))</f>
        <v>46</v>
      </c>
      <c r="X330" s="2">
        <f>IF(SUMIFS(StandardName[RankValueInTheRanking],StandardName[StandardizedName],THE_QS[[#This Row],[Nazwa uczelni]],StandardName[Ranking],$X$1)=0,$N$3,SUMIFS(StandardName[RankValueInTheRanking],StandardName[StandardizedName],THE_QS[[#This Row],[Nazwa uczelni]],StandardName[Ranking],$X$1))</f>
        <v>69</v>
      </c>
      <c r="Y330" s="2">
        <f>SUM(THE_QS[[#This Row],[THE_RV1000]:[Webometrics_RV1000]])</f>
        <v>221</v>
      </c>
      <c r="Z330" s="2">
        <v>52</v>
      </c>
      <c r="AA330" s="2">
        <v>54</v>
      </c>
      <c r="AB330" s="2">
        <v>46</v>
      </c>
      <c r="AC330" s="2">
        <v>69</v>
      </c>
    </row>
    <row r="331" spans="9:29" outlineLevel="1" x14ac:dyDescent="0.45">
      <c r="I331" t="s">
        <v>501</v>
      </c>
      <c r="J331">
        <v>29</v>
      </c>
      <c r="K331" t="s">
        <v>501</v>
      </c>
      <c r="L331">
        <v>29</v>
      </c>
      <c r="M331" t="s">
        <v>850</v>
      </c>
      <c r="O331" s="1" t="s">
        <v>810</v>
      </c>
      <c r="P331" s="1">
        <v>1</v>
      </c>
      <c r="Q331" s="1">
        <v>1</v>
      </c>
      <c r="R331" s="1">
        <v>1</v>
      </c>
      <c r="S331" s="1">
        <v>1</v>
      </c>
      <c r="T331" s="1">
        <v>4</v>
      </c>
      <c r="U331" s="2">
        <f>IF(SUMIFS(StandardName[RankValueInTheRanking],StandardName[StandardizedName],THE_QS[[#This Row],[Nazwa uczelni]],StandardName[Ranking],$U$1)=0,$N$3,SUMIFS(StandardName[RankValueInTheRanking],StandardName[StandardizedName],THE_QS[[#This Row],[Nazwa uczelni]],StandardName[Ranking],$U$1))</f>
        <v>71</v>
      </c>
      <c r="V331" s="2">
        <f>IF(SUMIFS(StandardName[RankValueInTheRanking],StandardName[StandardizedName],THE_QS[[#This Row],[Nazwa uczelni]],StandardName[Ranking],$V$1)=0,$N$3,SUMIFS(StandardName[RankValueInTheRanking],StandardName[StandardizedName],THE_QS[[#This Row],[Nazwa uczelni]],StandardName[Ranking],$V$1))</f>
        <v>64</v>
      </c>
      <c r="W331" s="2">
        <f>IF(SUMIFS(StandardName[RankValueInTheRanking],StandardName[StandardizedName],THE_QS[[#This Row],[Nazwa uczelni]],StandardName[Ranking],$W$1)=0,$N$3,SUMIFS(StandardName[RankValueInTheRanking],StandardName[StandardizedName],THE_QS[[#This Row],[Nazwa uczelni]],StandardName[Ranking],$W$1))</f>
        <v>45</v>
      </c>
      <c r="X331" s="2">
        <f>IF(SUMIFS(StandardName[RankValueInTheRanking],StandardName[StandardizedName],THE_QS[[#This Row],[Nazwa uczelni]],StandardName[Ranking],$X$1)=0,$N$3,SUMIFS(StandardName[RankValueInTheRanking],StandardName[StandardizedName],THE_QS[[#This Row],[Nazwa uczelni]],StandardName[Ranking],$X$1))</f>
        <v>41</v>
      </c>
      <c r="Y331" s="2">
        <f>SUM(THE_QS[[#This Row],[THE_RV1000]:[Webometrics_RV1000]])</f>
        <v>221</v>
      </c>
      <c r="Z331" s="1">
        <v>71</v>
      </c>
      <c r="AA331" s="1">
        <v>64</v>
      </c>
      <c r="AB331" s="1">
        <v>45</v>
      </c>
      <c r="AC331" s="1">
        <v>41</v>
      </c>
    </row>
    <row r="332" spans="9:29" outlineLevel="1" x14ac:dyDescent="0.45">
      <c r="I332" t="s">
        <v>803</v>
      </c>
      <c r="J332">
        <v>30</v>
      </c>
      <c r="K332" t="s">
        <v>67</v>
      </c>
      <c r="L332">
        <v>30</v>
      </c>
      <c r="M332" t="s">
        <v>850</v>
      </c>
      <c r="O332" s="2" t="s">
        <v>179</v>
      </c>
      <c r="P332" s="2">
        <v>1</v>
      </c>
      <c r="Q332" s="2">
        <v>1</v>
      </c>
      <c r="R332" s="2">
        <v>1</v>
      </c>
      <c r="S332" s="2">
        <v>1</v>
      </c>
      <c r="T332" s="2">
        <v>4</v>
      </c>
      <c r="U332" s="2">
        <f>IF(SUMIFS(StandardName[RankValueInTheRanking],StandardName[StandardizedName],THE_QS[[#This Row],[Nazwa uczelni]],StandardName[Ranking],$U$1)=0,$N$3,SUMIFS(StandardName[RankValueInTheRanking],StandardName[StandardizedName],THE_QS[[#This Row],[Nazwa uczelni]],StandardName[Ranking],$U$1))</f>
        <v>31</v>
      </c>
      <c r="V332" s="2">
        <f>IF(SUMIFS(StandardName[RankValueInTheRanking],StandardName[StandardizedName],THE_QS[[#This Row],[Nazwa uczelni]],StandardName[Ranking],$V$1)=0,$N$3,SUMIFS(StandardName[RankValueInTheRanking],StandardName[StandardizedName],THE_QS[[#This Row],[Nazwa uczelni]],StandardName[Ranking],$V$1))</f>
        <v>96</v>
      </c>
      <c r="W332" s="2">
        <f>IF(SUMIFS(StandardName[RankValueInTheRanking],StandardName[StandardizedName],THE_QS[[#This Row],[Nazwa uczelni]],StandardName[Ranking],$W$1)=0,$N$3,SUMIFS(StandardName[RankValueInTheRanking],StandardName[StandardizedName],THE_QS[[#This Row],[Nazwa uczelni]],StandardName[Ranking],$W$1))</f>
        <v>21</v>
      </c>
      <c r="X332" s="2">
        <f>IF(SUMIFS(StandardName[RankValueInTheRanking],StandardName[StandardizedName],THE_QS[[#This Row],[Nazwa uczelni]],StandardName[Ranking],$X$1)=0,$N$3,SUMIFS(StandardName[RankValueInTheRanking],StandardName[StandardizedName],THE_QS[[#This Row],[Nazwa uczelni]],StandardName[Ranking],$X$1))</f>
        <v>75</v>
      </c>
      <c r="Y332" s="2">
        <f>SUM(THE_QS[[#This Row],[THE_RV1000]:[Webometrics_RV1000]])</f>
        <v>223</v>
      </c>
      <c r="Z332" s="2">
        <v>31</v>
      </c>
      <c r="AA332" s="2">
        <v>96</v>
      </c>
      <c r="AB332" s="2">
        <v>21</v>
      </c>
      <c r="AC332" s="2">
        <v>75</v>
      </c>
    </row>
    <row r="333" spans="9:29" outlineLevel="1" x14ac:dyDescent="0.45">
      <c r="I333" t="s">
        <v>347</v>
      </c>
      <c r="J333">
        <v>31</v>
      </c>
      <c r="K333" t="s">
        <v>347</v>
      </c>
      <c r="L333">
        <v>31</v>
      </c>
      <c r="M333" t="s">
        <v>850</v>
      </c>
      <c r="O333" s="1" t="s">
        <v>614</v>
      </c>
      <c r="P333" s="1">
        <v>1</v>
      </c>
      <c r="Q333" s="1">
        <v>1</v>
      </c>
      <c r="R333" s="1">
        <v>1</v>
      </c>
      <c r="S333" s="1">
        <v>1</v>
      </c>
      <c r="T333" s="1">
        <v>4</v>
      </c>
      <c r="U333" s="2">
        <f>IF(SUMIFS(StandardName[RankValueInTheRanking],StandardName[StandardizedName],THE_QS[[#This Row],[Nazwa uczelni]],StandardName[Ranking],$U$1)=0,$N$3,SUMIFS(StandardName[RankValueInTheRanking],StandardName[StandardizedName],THE_QS[[#This Row],[Nazwa uczelni]],StandardName[Ranking],$U$1))</f>
        <v>36</v>
      </c>
      <c r="V333" s="2">
        <f>IF(SUMIFS(StandardName[RankValueInTheRanking],StandardName[StandardizedName],THE_QS[[#This Row],[Nazwa uczelni]],StandardName[Ranking],$V$1)=0,$N$3,SUMIFS(StandardName[RankValueInTheRanking],StandardName[StandardizedName],THE_QS[[#This Row],[Nazwa uczelni]],StandardName[Ranking],$V$1))</f>
        <v>88</v>
      </c>
      <c r="W333" s="2">
        <f>IF(SUMIFS(StandardName[RankValueInTheRanking],StandardName[StandardizedName],THE_QS[[#This Row],[Nazwa uczelni]],StandardName[Ranking],$W$1)=0,$N$3,SUMIFS(StandardName[RankValueInTheRanking],StandardName[StandardizedName],THE_QS[[#This Row],[Nazwa uczelni]],StandardName[Ranking],$W$1))</f>
        <v>19</v>
      </c>
      <c r="X333" s="2">
        <f>IF(SUMIFS(StandardName[RankValueInTheRanking],StandardName[StandardizedName],THE_QS[[#This Row],[Nazwa uczelni]],StandardName[Ranking],$X$1)=0,$N$3,SUMIFS(StandardName[RankValueInTheRanking],StandardName[StandardizedName],THE_QS[[#This Row],[Nazwa uczelni]],StandardName[Ranking],$X$1))</f>
        <v>87</v>
      </c>
      <c r="Y333" s="2">
        <f>SUM(THE_QS[[#This Row],[THE_RV1000]:[Webometrics_RV1000]])</f>
        <v>230</v>
      </c>
      <c r="Z333" s="1">
        <v>36</v>
      </c>
      <c r="AA333" s="1">
        <v>88</v>
      </c>
      <c r="AB333" s="1">
        <v>19</v>
      </c>
      <c r="AC333" s="1">
        <v>87</v>
      </c>
    </row>
    <row r="334" spans="9:29" outlineLevel="1" x14ac:dyDescent="0.45">
      <c r="I334" t="s">
        <v>804</v>
      </c>
      <c r="J334">
        <v>32</v>
      </c>
      <c r="K334" t="s">
        <v>97</v>
      </c>
      <c r="L334">
        <v>32</v>
      </c>
      <c r="M334" t="s">
        <v>850</v>
      </c>
      <c r="O334" s="2" t="s">
        <v>245</v>
      </c>
      <c r="P334" s="2">
        <v>1</v>
      </c>
      <c r="Q334" s="2">
        <v>1</v>
      </c>
      <c r="R334" s="2">
        <v>1</v>
      </c>
      <c r="S334" s="2">
        <v>1</v>
      </c>
      <c r="T334" s="2">
        <v>4</v>
      </c>
      <c r="U334" s="2">
        <f>IF(SUMIFS(StandardName[RankValueInTheRanking],StandardName[StandardizedName],THE_QS[[#This Row],[Nazwa uczelni]],StandardName[Ranking],$U$1)=0,$N$3,SUMIFS(StandardName[RankValueInTheRanking],StandardName[StandardizedName],THE_QS[[#This Row],[Nazwa uczelni]],StandardName[Ranking],$U$1))</f>
        <v>44</v>
      </c>
      <c r="V334" s="2">
        <f>IF(SUMIFS(StandardName[RankValueInTheRanking],StandardName[StandardizedName],THE_QS[[#This Row],[Nazwa uczelni]],StandardName[Ranking],$V$1)=0,$N$3,SUMIFS(StandardName[RankValueInTheRanking],StandardName[StandardizedName],THE_QS[[#This Row],[Nazwa uczelni]],StandardName[Ranking],$V$1))</f>
        <v>75</v>
      </c>
      <c r="W334" s="2">
        <f>IF(SUMIFS(StandardName[RankValueInTheRanking],StandardName[StandardizedName],THE_QS[[#This Row],[Nazwa uczelni]],StandardName[Ranking],$W$1)=0,$N$3,SUMIFS(StandardName[RankValueInTheRanking],StandardName[StandardizedName],THE_QS[[#This Row],[Nazwa uczelni]],StandardName[Ranking],$W$1))</f>
        <v>57</v>
      </c>
      <c r="X334" s="2">
        <f>IF(SUMIFS(StandardName[RankValueInTheRanking],StandardName[StandardizedName],THE_QS[[#This Row],[Nazwa uczelni]],StandardName[Ranking],$X$1)=0,$N$3,SUMIFS(StandardName[RankValueInTheRanking],StandardName[StandardizedName],THE_QS[[#This Row],[Nazwa uczelni]],StandardName[Ranking],$X$1))</f>
        <v>57</v>
      </c>
      <c r="Y334" s="2">
        <f>SUM(THE_QS[[#This Row],[THE_RV1000]:[Webometrics_RV1000]])</f>
        <v>233</v>
      </c>
      <c r="Z334" s="2">
        <v>44</v>
      </c>
      <c r="AA334" s="2">
        <v>75</v>
      </c>
      <c r="AB334" s="2">
        <v>57</v>
      </c>
      <c r="AC334" s="2">
        <v>57</v>
      </c>
    </row>
    <row r="335" spans="9:29" outlineLevel="1" x14ac:dyDescent="0.45">
      <c r="I335" t="s">
        <v>805</v>
      </c>
      <c r="J335">
        <v>33</v>
      </c>
      <c r="K335" t="s">
        <v>266</v>
      </c>
      <c r="L335">
        <v>33</v>
      </c>
      <c r="M335" t="s">
        <v>850</v>
      </c>
      <c r="O335" s="1" t="s">
        <v>337</v>
      </c>
      <c r="P335" s="1">
        <v>1</v>
      </c>
      <c r="Q335" s="1">
        <v>1</v>
      </c>
      <c r="R335" s="1">
        <v>1</v>
      </c>
      <c r="S335" s="1">
        <v>1</v>
      </c>
      <c r="T335" s="1">
        <v>4</v>
      </c>
      <c r="U335" s="2">
        <f>IF(SUMIFS(StandardName[RankValueInTheRanking],StandardName[StandardizedName],THE_QS[[#This Row],[Nazwa uczelni]],StandardName[Ranking],$U$1)=0,$N$3,SUMIFS(StandardName[RankValueInTheRanking],StandardName[StandardizedName],THE_QS[[#This Row],[Nazwa uczelni]],StandardName[Ranking],$U$1))</f>
        <v>62</v>
      </c>
      <c r="V335" s="2">
        <f>IF(SUMIFS(StandardName[RankValueInTheRanking],StandardName[StandardizedName],THE_QS[[#This Row],[Nazwa uczelni]],StandardName[Ranking],$V$1)=0,$N$3,SUMIFS(StandardName[RankValueInTheRanking],StandardName[StandardizedName],THE_QS[[#This Row],[Nazwa uczelni]],StandardName[Ranking],$V$1))</f>
        <v>79</v>
      </c>
      <c r="W335" s="2">
        <f>IF(SUMIFS(StandardName[RankValueInTheRanking],StandardName[StandardizedName],THE_QS[[#This Row],[Nazwa uczelni]],StandardName[Ranking],$W$1)=0,$N$3,SUMIFS(StandardName[RankValueInTheRanking],StandardName[StandardizedName],THE_QS[[#This Row],[Nazwa uczelni]],StandardName[Ranking],$W$1))</f>
        <v>30</v>
      </c>
      <c r="X335" s="2">
        <f>IF(SUMIFS(StandardName[RankValueInTheRanking],StandardName[StandardizedName],THE_QS[[#This Row],[Nazwa uczelni]],StandardName[Ranking],$X$1)=0,$N$3,SUMIFS(StandardName[RankValueInTheRanking],StandardName[StandardizedName],THE_QS[[#This Row],[Nazwa uczelni]],StandardName[Ranking],$X$1))</f>
        <v>79</v>
      </c>
      <c r="Y335" s="2">
        <f>SUM(THE_QS[[#This Row],[THE_RV1000]:[Webometrics_RV1000]])</f>
        <v>250</v>
      </c>
      <c r="Z335" s="1">
        <v>62</v>
      </c>
      <c r="AA335" s="1">
        <v>79</v>
      </c>
      <c r="AB335" s="1">
        <v>30</v>
      </c>
      <c r="AC335" s="1">
        <v>79</v>
      </c>
    </row>
    <row r="336" spans="9:29" outlineLevel="1" x14ac:dyDescent="0.45">
      <c r="I336" t="s">
        <v>619</v>
      </c>
      <c r="J336">
        <v>34</v>
      </c>
      <c r="K336" t="s">
        <v>619</v>
      </c>
      <c r="L336">
        <v>34</v>
      </c>
      <c r="M336" t="s">
        <v>850</v>
      </c>
      <c r="O336" s="2" t="s">
        <v>306</v>
      </c>
      <c r="P336" s="2">
        <v>1</v>
      </c>
      <c r="Q336" s="2">
        <v>1</v>
      </c>
      <c r="R336" s="2">
        <v>1</v>
      </c>
      <c r="S336" s="2">
        <v>1</v>
      </c>
      <c r="T336" s="2">
        <v>4</v>
      </c>
      <c r="U336" s="2">
        <f>IF(SUMIFS(StandardName[RankValueInTheRanking],StandardName[StandardizedName],THE_QS[[#This Row],[Nazwa uczelni]],StandardName[Ranking],$U$1)=0,$N$3,SUMIFS(StandardName[RankValueInTheRanking],StandardName[StandardizedName],THE_QS[[#This Row],[Nazwa uczelni]],StandardName[Ranking],$U$1))</f>
        <v>56</v>
      </c>
      <c r="V336" s="2">
        <f>IF(SUMIFS(StandardName[RankValueInTheRanking],StandardName[StandardizedName],THE_QS[[#This Row],[Nazwa uczelni]],StandardName[Ranking],$V$1)=0,$N$3,SUMIFS(StandardName[RankValueInTheRanking],StandardName[StandardizedName],THE_QS[[#This Row],[Nazwa uczelni]],StandardName[Ranking],$V$1))</f>
        <v>98</v>
      </c>
      <c r="W336" s="2">
        <f>IF(SUMIFS(StandardName[RankValueInTheRanking],StandardName[StandardizedName],THE_QS[[#This Row],[Nazwa uczelni]],StandardName[Ranking],$W$1)=0,$N$3,SUMIFS(StandardName[RankValueInTheRanking],StandardName[StandardizedName],THE_QS[[#This Row],[Nazwa uczelni]],StandardName[Ranking],$W$1))</f>
        <v>29</v>
      </c>
      <c r="X336" s="2">
        <f>IF(SUMIFS(StandardName[RankValueInTheRanking],StandardName[StandardizedName],THE_QS[[#This Row],[Nazwa uczelni]],StandardName[Ranking],$X$1)=0,$N$3,SUMIFS(StandardName[RankValueInTheRanking],StandardName[StandardizedName],THE_QS[[#This Row],[Nazwa uczelni]],StandardName[Ranking],$X$1))</f>
        <v>96</v>
      </c>
      <c r="Y336" s="2">
        <f>SUM(THE_QS[[#This Row],[THE_RV1000]:[Webometrics_RV1000]])</f>
        <v>279</v>
      </c>
      <c r="Z336" s="2">
        <v>56</v>
      </c>
      <c r="AA336" s="2">
        <v>98</v>
      </c>
      <c r="AB336" s="2">
        <v>29</v>
      </c>
      <c r="AC336" s="2">
        <v>96</v>
      </c>
    </row>
    <row r="337" spans="9:29" outlineLevel="1" x14ac:dyDescent="0.45">
      <c r="I337" t="s">
        <v>54</v>
      </c>
      <c r="J337">
        <v>35</v>
      </c>
      <c r="K337" t="s">
        <v>54</v>
      </c>
      <c r="L337">
        <v>35</v>
      </c>
      <c r="M337" t="s">
        <v>850</v>
      </c>
      <c r="O337" s="1" t="s">
        <v>332</v>
      </c>
      <c r="P337" s="1">
        <v>1</v>
      </c>
      <c r="Q337" s="1">
        <v>1</v>
      </c>
      <c r="R337" s="1">
        <v>1</v>
      </c>
      <c r="S337" s="1">
        <v>1</v>
      </c>
      <c r="T337" s="1">
        <v>4</v>
      </c>
      <c r="U337" s="2">
        <f>IF(SUMIFS(StandardName[RankValueInTheRanking],StandardName[StandardizedName],THE_QS[[#This Row],[Nazwa uczelni]],StandardName[Ranking],$U$1)=0,$N$3,SUMIFS(StandardName[RankValueInTheRanking],StandardName[StandardizedName],THE_QS[[#This Row],[Nazwa uczelni]],StandardName[Ranking],$U$1))</f>
        <v>61</v>
      </c>
      <c r="V337" s="2">
        <f>IF(SUMIFS(StandardName[RankValueInTheRanking],StandardName[StandardizedName],THE_QS[[#This Row],[Nazwa uczelni]],StandardName[Ranking],$V$1)=0,$N$3,SUMIFS(StandardName[RankValueInTheRanking],StandardName[StandardizedName],THE_QS[[#This Row],[Nazwa uczelni]],StandardName[Ranking],$V$1))</f>
        <v>99</v>
      </c>
      <c r="W337" s="2">
        <f>IF(SUMIFS(StandardName[RankValueInTheRanking],StandardName[StandardizedName],THE_QS[[#This Row],[Nazwa uczelni]],StandardName[Ranking],$W$1)=0,$N$3,SUMIFS(StandardName[RankValueInTheRanking],StandardName[StandardizedName],THE_QS[[#This Row],[Nazwa uczelni]],StandardName[Ranking],$W$1))</f>
        <v>63</v>
      </c>
      <c r="X337" s="2">
        <f>IF(SUMIFS(StandardName[RankValueInTheRanking],StandardName[StandardizedName],THE_QS[[#This Row],[Nazwa uczelni]],StandardName[Ranking],$X$1)=0,$N$3,SUMIFS(StandardName[RankValueInTheRanking],StandardName[StandardizedName],THE_QS[[#This Row],[Nazwa uczelni]],StandardName[Ranking],$X$1))</f>
        <v>80</v>
      </c>
      <c r="Y337" s="2">
        <f>SUM(THE_QS[[#This Row],[THE_RV1000]:[Webometrics_RV1000]])</f>
        <v>303</v>
      </c>
      <c r="Z337" s="1">
        <v>61</v>
      </c>
      <c r="AA337" s="1">
        <v>99</v>
      </c>
      <c r="AB337" s="1">
        <v>63</v>
      </c>
      <c r="AC337" s="1">
        <v>80</v>
      </c>
    </row>
    <row r="338" spans="9:29" outlineLevel="1" x14ac:dyDescent="0.45">
      <c r="I338" t="s">
        <v>806</v>
      </c>
      <c r="J338">
        <v>36</v>
      </c>
      <c r="K338" t="s">
        <v>806</v>
      </c>
      <c r="L338">
        <v>36</v>
      </c>
      <c r="M338" t="s">
        <v>850</v>
      </c>
      <c r="O338" s="2" t="s">
        <v>425</v>
      </c>
      <c r="P338" s="2">
        <v>1</v>
      </c>
      <c r="Q338" s="2">
        <v>1</v>
      </c>
      <c r="R338" s="2">
        <v>1</v>
      </c>
      <c r="S338" s="2">
        <v>1</v>
      </c>
      <c r="T338" s="2">
        <v>4</v>
      </c>
      <c r="U338" s="2">
        <f>IF(SUMIFS(StandardName[RankValueInTheRanking],StandardName[StandardizedName],THE_QS[[#This Row],[Nazwa uczelni]],StandardName[Ranking],$U$1)=0,$N$3,SUMIFS(StandardName[RankValueInTheRanking],StandardName[StandardizedName],THE_QS[[#This Row],[Nazwa uczelni]],StandardName[Ranking],$U$1))</f>
        <v>82</v>
      </c>
      <c r="V338" s="2">
        <f>IF(SUMIFS(StandardName[RankValueInTheRanking],StandardName[StandardizedName],THE_QS[[#This Row],[Nazwa uczelni]],StandardName[Ranking],$V$1)=0,$N$3,SUMIFS(StandardName[RankValueInTheRanking],StandardName[StandardizedName],THE_QS[[#This Row],[Nazwa uczelni]],StandardName[Ranking],$V$1))</f>
        <v>59</v>
      </c>
      <c r="W338" s="2">
        <f>IF(SUMIFS(StandardName[RankValueInTheRanking],StandardName[StandardizedName],THE_QS[[#This Row],[Nazwa uczelni]],StandardName[Ranking],$W$1)=0,$N$3,SUMIFS(StandardName[RankValueInTheRanking],StandardName[StandardizedName],THE_QS[[#This Row],[Nazwa uczelni]],StandardName[Ranking],$W$1))</f>
        <v>83</v>
      </c>
      <c r="X338" s="2">
        <f>IF(SUMIFS(StandardName[RankValueInTheRanking],StandardName[StandardizedName],THE_QS[[#This Row],[Nazwa uczelni]],StandardName[Ranking],$X$1)=0,$N$3,SUMIFS(StandardName[RankValueInTheRanking],StandardName[StandardizedName],THE_QS[[#This Row],[Nazwa uczelni]],StandardName[Ranking],$X$1))</f>
        <v>92</v>
      </c>
      <c r="Y338" s="2">
        <f>SUM(THE_QS[[#This Row],[THE_RV1000]:[Webometrics_RV1000]])</f>
        <v>316</v>
      </c>
      <c r="Z338" s="2">
        <v>82</v>
      </c>
      <c r="AA338" s="2">
        <v>59</v>
      </c>
      <c r="AB338" s="2">
        <v>83</v>
      </c>
      <c r="AC338" s="2">
        <v>92</v>
      </c>
    </row>
    <row r="339" spans="9:29" outlineLevel="1" x14ac:dyDescent="0.45">
      <c r="I339" t="s">
        <v>807</v>
      </c>
      <c r="J339">
        <v>37</v>
      </c>
      <c r="K339" t="s">
        <v>807</v>
      </c>
      <c r="L339">
        <v>37</v>
      </c>
      <c r="M339" t="s">
        <v>850</v>
      </c>
      <c r="O339" s="1" t="s">
        <v>385</v>
      </c>
      <c r="P339" s="1">
        <v>1</v>
      </c>
      <c r="Q339" s="1">
        <v>1</v>
      </c>
      <c r="R339" s="1">
        <v>1</v>
      </c>
      <c r="S339" s="1">
        <v>1</v>
      </c>
      <c r="T339" s="1">
        <v>4</v>
      </c>
      <c r="U339" s="2">
        <f>IF(SUMIFS(StandardName[RankValueInTheRanking],StandardName[StandardizedName],THE_QS[[#This Row],[Nazwa uczelni]],StandardName[Ranking],$U$1)=0,$N$3,SUMIFS(StandardName[RankValueInTheRanking],StandardName[StandardizedName],THE_QS[[#This Row],[Nazwa uczelni]],StandardName[Ranking],$U$1))</f>
        <v>74</v>
      </c>
      <c r="V339" s="2">
        <f>IF(SUMIFS(StandardName[RankValueInTheRanking],StandardName[StandardizedName],THE_QS[[#This Row],[Nazwa uczelni]],StandardName[Ranking],$V$1)=0,$N$3,SUMIFS(StandardName[RankValueInTheRanking],StandardName[StandardizedName],THE_QS[[#This Row],[Nazwa uczelni]],StandardName[Ranking],$V$1))</f>
        <v>62</v>
      </c>
      <c r="W339" s="2">
        <f>IF(SUMIFS(StandardName[RankValueInTheRanking],StandardName[StandardizedName],THE_QS[[#This Row],[Nazwa uczelni]],StandardName[Ranking],$W$1)=0,$N$3,SUMIFS(StandardName[RankValueInTheRanking],StandardName[StandardizedName],THE_QS[[#This Row],[Nazwa uczelni]],StandardName[Ranking],$W$1))</f>
        <v>94</v>
      </c>
      <c r="X339" s="2">
        <f>IF(SUMIFS(StandardName[RankValueInTheRanking],StandardName[StandardizedName],THE_QS[[#This Row],[Nazwa uczelni]],StandardName[Ranking],$X$1)=0,$N$3,SUMIFS(StandardName[RankValueInTheRanking],StandardName[StandardizedName],THE_QS[[#This Row],[Nazwa uczelni]],StandardName[Ranking],$X$1))</f>
        <v>95</v>
      </c>
      <c r="Y339" s="2">
        <f>SUM(THE_QS[[#This Row],[THE_RV1000]:[Webometrics_RV1000]])</f>
        <v>325</v>
      </c>
      <c r="Z339" s="1">
        <v>74</v>
      </c>
      <c r="AA339" s="1">
        <v>62</v>
      </c>
      <c r="AB339" s="1">
        <v>94</v>
      </c>
      <c r="AC339" s="1">
        <v>95</v>
      </c>
    </row>
    <row r="340" spans="9:29" outlineLevel="1" x14ac:dyDescent="0.45">
      <c r="I340" t="s">
        <v>808</v>
      </c>
      <c r="J340">
        <v>38</v>
      </c>
      <c r="K340" t="s">
        <v>808</v>
      </c>
      <c r="L340">
        <v>38</v>
      </c>
      <c r="M340" t="s">
        <v>850</v>
      </c>
      <c r="O340" s="2" t="s">
        <v>663</v>
      </c>
      <c r="P340" s="2">
        <v>1</v>
      </c>
      <c r="Q340" s="2">
        <v>1</v>
      </c>
      <c r="R340" s="2">
        <v>1</v>
      </c>
      <c r="S340" s="2">
        <v>0</v>
      </c>
      <c r="T340" s="2">
        <v>3</v>
      </c>
      <c r="U340" s="2">
        <f>IF(SUMIFS(StandardName[RankValueInTheRanking],StandardName[StandardizedName],THE_QS[[#This Row],[Nazwa uczelni]],StandardName[Ranking],$U$1)=0,$N$3,SUMIFS(StandardName[RankValueInTheRanking],StandardName[StandardizedName],THE_QS[[#This Row],[Nazwa uczelni]],StandardName[Ranking],$U$1))</f>
        <v>47</v>
      </c>
      <c r="V340" s="2">
        <f>IF(SUMIFS(StandardName[RankValueInTheRanking],StandardName[StandardizedName],THE_QS[[#This Row],[Nazwa uczelni]],StandardName[Ranking],$V$1)=0,$N$3,SUMIFS(StandardName[RankValueInTheRanking],StandardName[StandardizedName],THE_QS[[#This Row],[Nazwa uczelni]],StandardName[Ranking],$V$1))</f>
        <v>40</v>
      </c>
      <c r="W340" s="2">
        <f>IF(SUMIFS(StandardName[RankValueInTheRanking],StandardName[StandardizedName],THE_QS[[#This Row],[Nazwa uczelni]],StandardName[Ranking],$W$1)=0,$N$3,SUMIFS(StandardName[RankValueInTheRanking],StandardName[StandardizedName],THE_QS[[#This Row],[Nazwa uczelni]],StandardName[Ranking],$W$1))</f>
        <v>26</v>
      </c>
      <c r="X340" s="2">
        <f>IF(SUMIFS(StandardName[RankValueInTheRanking],StandardName[StandardizedName],THE_QS[[#This Row],[Nazwa uczelni]],StandardName[Ranking],$X$1)=0,$N$3,SUMIFS(StandardName[RankValueInTheRanking],StandardName[StandardizedName],THE_QS[[#This Row],[Nazwa uczelni]],StandardName[Ranking],$X$1))</f>
        <v>250</v>
      </c>
      <c r="Y340" s="2">
        <f>SUM(THE_QS[[#This Row],[THE_RV1000]:[Webometrics_RV1000]])</f>
        <v>363</v>
      </c>
      <c r="Z340" s="2">
        <v>47</v>
      </c>
      <c r="AA340" s="2">
        <v>40</v>
      </c>
      <c r="AB340" s="2">
        <v>26</v>
      </c>
      <c r="AC340" s="2">
        <v>0</v>
      </c>
    </row>
    <row r="341" spans="9:29" outlineLevel="1" x14ac:dyDescent="0.45">
      <c r="I341" t="s">
        <v>809</v>
      </c>
      <c r="J341">
        <v>39</v>
      </c>
      <c r="K341" t="s">
        <v>809</v>
      </c>
      <c r="L341">
        <v>39</v>
      </c>
      <c r="M341" t="s">
        <v>850</v>
      </c>
      <c r="O341" s="1" t="s">
        <v>162</v>
      </c>
      <c r="P341" s="1">
        <v>1</v>
      </c>
      <c r="Q341" s="1">
        <v>0</v>
      </c>
      <c r="R341" s="1">
        <v>1</v>
      </c>
      <c r="S341" s="1">
        <v>1</v>
      </c>
      <c r="T341" s="1">
        <v>3</v>
      </c>
      <c r="U341" s="2">
        <f>IF(SUMIFS(StandardName[RankValueInTheRanking],StandardName[StandardizedName],THE_QS[[#This Row],[Nazwa uczelni]],StandardName[Ranking],$U$1)=0,$N$3,SUMIFS(StandardName[RankValueInTheRanking],StandardName[StandardizedName],THE_QS[[#This Row],[Nazwa uczelni]],StandardName[Ranking],$U$1))</f>
        <v>28</v>
      </c>
      <c r="V341" s="2">
        <f>IF(SUMIFS(StandardName[RankValueInTheRanking],StandardName[StandardizedName],THE_QS[[#This Row],[Nazwa uczelni]],StandardName[Ranking],$V$1)=0,$N$3,SUMIFS(StandardName[RankValueInTheRanking],StandardName[StandardizedName],THE_QS[[#This Row],[Nazwa uczelni]],StandardName[Ranking],$V$1))</f>
        <v>250</v>
      </c>
      <c r="W341" s="2">
        <f>IF(SUMIFS(StandardName[RankValueInTheRanking],StandardName[StandardizedName],THE_QS[[#This Row],[Nazwa uczelni]],StandardName[Ranking],$W$1)=0,$N$3,SUMIFS(StandardName[RankValueInTheRanking],StandardName[StandardizedName],THE_QS[[#This Row],[Nazwa uczelni]],StandardName[Ranking],$W$1))</f>
        <v>52</v>
      </c>
      <c r="X341" s="2">
        <f>IF(SUMIFS(StandardName[RankValueInTheRanking],StandardName[StandardizedName],THE_QS[[#This Row],[Nazwa uczelni]],StandardName[Ranking],$X$1)=0,$N$3,SUMIFS(StandardName[RankValueInTheRanking],StandardName[StandardizedName],THE_QS[[#This Row],[Nazwa uczelni]],StandardName[Ranking],$X$1))</f>
        <v>49</v>
      </c>
      <c r="Y341" s="2">
        <f>SUM(THE_QS[[#This Row],[THE_RV1000]:[Webometrics_RV1000]])</f>
        <v>379</v>
      </c>
      <c r="Z341" s="1">
        <v>28</v>
      </c>
      <c r="AA341" s="1">
        <v>0</v>
      </c>
      <c r="AB341" s="1">
        <v>52</v>
      </c>
      <c r="AC341" s="1">
        <v>49</v>
      </c>
    </row>
    <row r="342" spans="9:29" outlineLevel="1" x14ac:dyDescent="0.45">
      <c r="I342" t="s">
        <v>194</v>
      </c>
      <c r="J342">
        <v>40</v>
      </c>
      <c r="K342" t="s">
        <v>194</v>
      </c>
      <c r="L342">
        <v>40</v>
      </c>
      <c r="M342" t="s">
        <v>850</v>
      </c>
      <c r="O342" s="2" t="s">
        <v>173</v>
      </c>
      <c r="P342" s="2">
        <v>1</v>
      </c>
      <c r="Q342" s="2">
        <v>1</v>
      </c>
      <c r="R342" s="2">
        <v>1</v>
      </c>
      <c r="S342" s="2">
        <v>0</v>
      </c>
      <c r="T342" s="2">
        <v>3</v>
      </c>
      <c r="U342" s="2">
        <f>IF(SUMIFS(StandardName[RankValueInTheRanking],StandardName[StandardizedName],THE_QS[[#This Row],[Nazwa uczelni]],StandardName[Ranking],$U$1)=0,$N$3,SUMIFS(StandardName[RankValueInTheRanking],StandardName[StandardizedName],THE_QS[[#This Row],[Nazwa uczelni]],StandardName[Ranking],$U$1))</f>
        <v>30</v>
      </c>
      <c r="V342" s="2">
        <f>IF(SUMIFS(StandardName[RankValueInTheRanking],StandardName[StandardizedName],THE_QS[[#This Row],[Nazwa uczelni]],StandardName[Ranking],$V$1)=0,$N$3,SUMIFS(StandardName[RankValueInTheRanking],StandardName[StandardizedName],THE_QS[[#This Row],[Nazwa uczelni]],StandardName[Ranking],$V$1))</f>
        <v>56</v>
      </c>
      <c r="W342" s="2">
        <f>IF(SUMIFS(StandardName[RankValueInTheRanking],StandardName[StandardizedName],THE_QS[[#This Row],[Nazwa uczelni]],StandardName[Ranking],$W$1)=0,$N$3,SUMIFS(StandardName[RankValueInTheRanking],StandardName[StandardizedName],THE_QS[[#This Row],[Nazwa uczelni]],StandardName[Ranking],$W$1))</f>
        <v>49</v>
      </c>
      <c r="X342" s="2">
        <f>IF(SUMIFS(StandardName[RankValueInTheRanking],StandardName[StandardizedName],THE_QS[[#This Row],[Nazwa uczelni]],StandardName[Ranking],$X$1)=0,$N$3,SUMIFS(StandardName[RankValueInTheRanking],StandardName[StandardizedName],THE_QS[[#This Row],[Nazwa uczelni]],StandardName[Ranking],$X$1))</f>
        <v>250</v>
      </c>
      <c r="Y342" s="2">
        <f>SUM(THE_QS[[#This Row],[THE_RV1000]:[Webometrics_RV1000]])</f>
        <v>385</v>
      </c>
      <c r="Z342" s="2">
        <v>30</v>
      </c>
      <c r="AA342" s="2">
        <v>56</v>
      </c>
      <c r="AB342" s="2">
        <v>49</v>
      </c>
      <c r="AC342" s="2">
        <v>0</v>
      </c>
    </row>
    <row r="343" spans="9:29" outlineLevel="1" x14ac:dyDescent="0.45">
      <c r="I343" t="s">
        <v>810</v>
      </c>
      <c r="J343">
        <v>41</v>
      </c>
      <c r="K343" t="s">
        <v>810</v>
      </c>
      <c r="L343">
        <v>41</v>
      </c>
      <c r="M343" t="s">
        <v>850</v>
      </c>
      <c r="O343" s="1" t="s">
        <v>360</v>
      </c>
      <c r="P343" s="1">
        <v>1</v>
      </c>
      <c r="Q343" s="1">
        <v>1</v>
      </c>
      <c r="R343" s="1">
        <v>1</v>
      </c>
      <c r="S343" s="1">
        <v>0</v>
      </c>
      <c r="T343" s="1">
        <v>3</v>
      </c>
      <c r="U343" s="2">
        <f>IF(SUMIFS(StandardName[RankValueInTheRanking],StandardName[StandardizedName],THE_QS[[#This Row],[Nazwa uczelni]],StandardName[Ranking],$U$1)=0,$N$3,SUMIFS(StandardName[RankValueInTheRanking],StandardName[StandardizedName],THE_QS[[#This Row],[Nazwa uczelni]],StandardName[Ranking],$U$1))</f>
        <v>68</v>
      </c>
      <c r="V343" s="2">
        <f>IF(SUMIFS(StandardName[RankValueInTheRanking],StandardName[StandardizedName],THE_QS[[#This Row],[Nazwa uczelni]],StandardName[Ranking],$V$1)=0,$N$3,SUMIFS(StandardName[RankValueInTheRanking],StandardName[StandardizedName],THE_QS[[#This Row],[Nazwa uczelni]],StandardName[Ranking],$V$1))</f>
        <v>41</v>
      </c>
      <c r="W343" s="2">
        <f>IF(SUMIFS(StandardName[RankValueInTheRanking],StandardName[StandardizedName],THE_QS[[#This Row],[Nazwa uczelni]],StandardName[Ranking],$W$1)=0,$N$3,SUMIFS(StandardName[RankValueInTheRanking],StandardName[StandardizedName],THE_QS[[#This Row],[Nazwa uczelni]],StandardName[Ranking],$W$1))</f>
        <v>36</v>
      </c>
      <c r="X343" s="2">
        <f>IF(SUMIFS(StandardName[RankValueInTheRanking],StandardName[StandardizedName],THE_QS[[#This Row],[Nazwa uczelni]],StandardName[Ranking],$X$1)=0,$N$3,SUMIFS(StandardName[RankValueInTheRanking],StandardName[StandardizedName],THE_QS[[#This Row],[Nazwa uczelni]],StandardName[Ranking],$X$1))</f>
        <v>250</v>
      </c>
      <c r="Y343" s="2">
        <f>SUM(THE_QS[[#This Row],[THE_RV1000]:[Webometrics_RV1000]])</f>
        <v>395</v>
      </c>
      <c r="Z343" s="1">
        <v>68</v>
      </c>
      <c r="AA343" s="1">
        <v>41</v>
      </c>
      <c r="AB343" s="1">
        <v>36</v>
      </c>
      <c r="AC343" s="1">
        <v>0</v>
      </c>
    </row>
    <row r="344" spans="9:29" outlineLevel="1" x14ac:dyDescent="0.45">
      <c r="I344" t="s">
        <v>811</v>
      </c>
      <c r="J344">
        <v>42</v>
      </c>
      <c r="K344" t="s">
        <v>313</v>
      </c>
      <c r="L344">
        <v>42</v>
      </c>
      <c r="M344" t="s">
        <v>850</v>
      </c>
      <c r="O344" s="2" t="s">
        <v>230</v>
      </c>
      <c r="P344" s="2">
        <v>1</v>
      </c>
      <c r="Q344" s="2">
        <v>0</v>
      </c>
      <c r="R344" s="2">
        <v>1</v>
      </c>
      <c r="S344" s="2">
        <v>1</v>
      </c>
      <c r="T344" s="2">
        <v>3</v>
      </c>
      <c r="U344" s="2">
        <f>IF(SUMIFS(StandardName[RankValueInTheRanking],StandardName[StandardizedName],THE_QS[[#This Row],[Nazwa uczelni]],StandardName[Ranking],$U$1)=0,$N$3,SUMIFS(StandardName[RankValueInTheRanking],StandardName[StandardizedName],THE_QS[[#This Row],[Nazwa uczelni]],StandardName[Ranking],$U$1))</f>
        <v>41</v>
      </c>
      <c r="V344" s="2">
        <f>IF(SUMIFS(StandardName[RankValueInTheRanking],StandardName[StandardizedName],THE_QS[[#This Row],[Nazwa uczelni]],StandardName[Ranking],$V$1)=0,$N$3,SUMIFS(StandardName[RankValueInTheRanking],StandardName[StandardizedName],THE_QS[[#This Row],[Nazwa uczelni]],StandardName[Ranking],$V$1))</f>
        <v>250</v>
      </c>
      <c r="W344" s="2">
        <f>IF(SUMIFS(StandardName[RankValueInTheRanking],StandardName[StandardizedName],THE_QS[[#This Row],[Nazwa uczelni]],StandardName[Ranking],$W$1)=0,$N$3,SUMIFS(StandardName[RankValueInTheRanking],StandardName[StandardizedName],THE_QS[[#This Row],[Nazwa uczelni]],StandardName[Ranking],$W$1))</f>
        <v>16</v>
      </c>
      <c r="X344" s="2">
        <f>IF(SUMIFS(StandardName[RankValueInTheRanking],StandardName[StandardizedName],THE_QS[[#This Row],[Nazwa uczelni]],StandardName[Ranking],$X$1)=0,$N$3,SUMIFS(StandardName[RankValueInTheRanking],StandardName[StandardizedName],THE_QS[[#This Row],[Nazwa uczelni]],StandardName[Ranking],$X$1))</f>
        <v>90</v>
      </c>
      <c r="Y344" s="2">
        <f>SUM(THE_QS[[#This Row],[THE_RV1000]:[Webometrics_RV1000]])</f>
        <v>397</v>
      </c>
      <c r="Z344" s="2">
        <v>41</v>
      </c>
      <c r="AA344" s="2">
        <v>0</v>
      </c>
      <c r="AB344" s="2">
        <v>16</v>
      </c>
      <c r="AC344" s="2">
        <v>90</v>
      </c>
    </row>
    <row r="345" spans="9:29" outlineLevel="1" x14ac:dyDescent="0.45">
      <c r="I345" t="s">
        <v>812</v>
      </c>
      <c r="J345">
        <v>43</v>
      </c>
      <c r="K345" t="s">
        <v>812</v>
      </c>
      <c r="L345">
        <v>43</v>
      </c>
      <c r="M345" t="s">
        <v>850</v>
      </c>
      <c r="O345" s="1" t="s">
        <v>282</v>
      </c>
      <c r="P345" s="1">
        <v>1</v>
      </c>
      <c r="Q345" s="1">
        <v>1</v>
      </c>
      <c r="R345" s="1">
        <v>1</v>
      </c>
      <c r="S345" s="1">
        <v>0</v>
      </c>
      <c r="T345" s="1">
        <v>3</v>
      </c>
      <c r="U345" s="2">
        <f>IF(SUMIFS(StandardName[RankValueInTheRanking],StandardName[StandardizedName],THE_QS[[#This Row],[Nazwa uczelni]],StandardName[Ranking],$U$1)=0,$N$3,SUMIFS(StandardName[RankValueInTheRanking],StandardName[StandardizedName],THE_QS[[#This Row],[Nazwa uczelni]],StandardName[Ranking],$U$1))</f>
        <v>51</v>
      </c>
      <c r="V345" s="2">
        <f>IF(SUMIFS(StandardName[RankValueInTheRanking],StandardName[StandardizedName],THE_QS[[#This Row],[Nazwa uczelni]],StandardName[Ranking],$V$1)=0,$N$3,SUMIFS(StandardName[RankValueInTheRanking],StandardName[StandardizedName],THE_QS[[#This Row],[Nazwa uczelni]],StandardName[Ranking],$V$1))</f>
        <v>67</v>
      </c>
      <c r="W345" s="2">
        <f>IF(SUMIFS(StandardName[RankValueInTheRanking],StandardName[StandardizedName],THE_QS[[#This Row],[Nazwa uczelni]],StandardName[Ranking],$W$1)=0,$N$3,SUMIFS(StandardName[RankValueInTheRanking],StandardName[StandardizedName],THE_QS[[#This Row],[Nazwa uczelni]],StandardName[Ranking],$W$1))</f>
        <v>34</v>
      </c>
      <c r="X345" s="2">
        <f>IF(SUMIFS(StandardName[RankValueInTheRanking],StandardName[StandardizedName],THE_QS[[#This Row],[Nazwa uczelni]],StandardName[Ranking],$X$1)=0,$N$3,SUMIFS(StandardName[RankValueInTheRanking],StandardName[StandardizedName],THE_QS[[#This Row],[Nazwa uczelni]],StandardName[Ranking],$X$1))</f>
        <v>250</v>
      </c>
      <c r="Y345" s="2">
        <f>SUM(THE_QS[[#This Row],[THE_RV1000]:[Webometrics_RV1000]])</f>
        <v>402</v>
      </c>
      <c r="Z345" s="1">
        <v>51</v>
      </c>
      <c r="AA345" s="1">
        <v>67</v>
      </c>
      <c r="AB345" s="1">
        <v>34</v>
      </c>
      <c r="AC345" s="1">
        <v>0</v>
      </c>
    </row>
    <row r="346" spans="9:29" outlineLevel="1" x14ac:dyDescent="0.45">
      <c r="I346" t="s">
        <v>169</v>
      </c>
      <c r="J346">
        <v>44</v>
      </c>
      <c r="K346" t="s">
        <v>169</v>
      </c>
      <c r="L346">
        <v>44</v>
      </c>
      <c r="M346" t="s">
        <v>850</v>
      </c>
      <c r="O346" s="2" t="s">
        <v>250</v>
      </c>
      <c r="P346" s="2">
        <v>1</v>
      </c>
      <c r="Q346" s="2">
        <v>0</v>
      </c>
      <c r="R346" s="2">
        <v>1</v>
      </c>
      <c r="S346" s="2">
        <v>1</v>
      </c>
      <c r="T346" s="2">
        <v>3</v>
      </c>
      <c r="U346" s="2">
        <f>IF(SUMIFS(StandardName[RankValueInTheRanking],StandardName[StandardizedName],THE_QS[[#This Row],[Nazwa uczelni]],StandardName[Ranking],$U$1)=0,$N$3,SUMIFS(StandardName[RankValueInTheRanking],StandardName[StandardizedName],THE_QS[[#This Row],[Nazwa uczelni]],StandardName[Ranking],$U$1))</f>
        <v>45</v>
      </c>
      <c r="V346" s="2">
        <f>IF(SUMIFS(StandardName[RankValueInTheRanking],StandardName[StandardizedName],THE_QS[[#This Row],[Nazwa uczelni]],StandardName[Ranking],$V$1)=0,$N$3,SUMIFS(StandardName[RankValueInTheRanking],StandardName[StandardizedName],THE_QS[[#This Row],[Nazwa uczelni]],StandardName[Ranking],$V$1))</f>
        <v>250</v>
      </c>
      <c r="W346" s="2">
        <f>IF(SUMIFS(StandardName[RankValueInTheRanking],StandardName[StandardizedName],THE_QS[[#This Row],[Nazwa uczelni]],StandardName[Ranking],$W$1)=0,$N$3,SUMIFS(StandardName[RankValueInTheRanking],StandardName[StandardizedName],THE_QS[[#This Row],[Nazwa uczelni]],StandardName[Ranking],$W$1))</f>
        <v>38</v>
      </c>
      <c r="X346" s="2">
        <f>IF(SUMIFS(StandardName[RankValueInTheRanking],StandardName[StandardizedName],THE_QS[[#This Row],[Nazwa uczelni]],StandardName[Ranking],$X$1)=0,$N$3,SUMIFS(StandardName[RankValueInTheRanking],StandardName[StandardizedName],THE_QS[[#This Row],[Nazwa uczelni]],StandardName[Ranking],$X$1))</f>
        <v>81</v>
      </c>
      <c r="Y346" s="2">
        <f>SUM(THE_QS[[#This Row],[THE_RV1000]:[Webometrics_RV1000]])</f>
        <v>414</v>
      </c>
      <c r="Z346" s="2">
        <v>45</v>
      </c>
      <c r="AA346" s="2">
        <v>0</v>
      </c>
      <c r="AB346" s="2">
        <v>38</v>
      </c>
      <c r="AC346" s="2">
        <v>81</v>
      </c>
    </row>
    <row r="347" spans="9:29" outlineLevel="1" x14ac:dyDescent="0.45">
      <c r="I347" t="s">
        <v>813</v>
      </c>
      <c r="J347">
        <v>45</v>
      </c>
      <c r="K347" t="s">
        <v>813</v>
      </c>
      <c r="L347">
        <v>45</v>
      </c>
      <c r="M347" t="s">
        <v>850</v>
      </c>
      <c r="O347" s="1" t="s">
        <v>456</v>
      </c>
      <c r="P347" s="1">
        <v>1</v>
      </c>
      <c r="Q347" s="1">
        <v>1</v>
      </c>
      <c r="R347" s="1">
        <v>1</v>
      </c>
      <c r="S347" s="1">
        <v>0</v>
      </c>
      <c r="T347" s="1">
        <v>3</v>
      </c>
      <c r="U347" s="2">
        <f>IF(SUMIFS(StandardName[RankValueInTheRanking],StandardName[StandardizedName],THE_QS[[#This Row],[Nazwa uczelni]],StandardName[Ranking],$U$1)=0,$N$3,SUMIFS(StandardName[RankValueInTheRanking],StandardName[StandardizedName],THE_QS[[#This Row],[Nazwa uczelni]],StandardName[Ranking],$U$1))</f>
        <v>93</v>
      </c>
      <c r="V347" s="2">
        <f>IF(SUMIFS(StandardName[RankValueInTheRanking],StandardName[StandardizedName],THE_QS[[#This Row],[Nazwa uczelni]],StandardName[Ranking],$V$1)=0,$N$3,SUMIFS(StandardName[RankValueInTheRanking],StandardName[StandardizedName],THE_QS[[#This Row],[Nazwa uczelni]],StandardName[Ranking],$V$1))</f>
        <v>16</v>
      </c>
      <c r="W347" s="2">
        <f>IF(SUMIFS(StandardName[RankValueInTheRanking],StandardName[StandardizedName],THE_QS[[#This Row],[Nazwa uczelni]],StandardName[Ranking],$W$1)=0,$N$3,SUMIFS(StandardName[RankValueInTheRanking],StandardName[StandardizedName],THE_QS[[#This Row],[Nazwa uczelni]],StandardName[Ranking],$W$1))</f>
        <v>69</v>
      </c>
      <c r="X347" s="2">
        <f>IF(SUMIFS(StandardName[RankValueInTheRanking],StandardName[StandardizedName],THE_QS[[#This Row],[Nazwa uczelni]],StandardName[Ranking],$X$1)=0,$N$3,SUMIFS(StandardName[RankValueInTheRanking],StandardName[StandardizedName],THE_QS[[#This Row],[Nazwa uczelni]],StandardName[Ranking],$X$1))</f>
        <v>250</v>
      </c>
      <c r="Y347" s="2">
        <f>SUM(THE_QS[[#This Row],[THE_RV1000]:[Webometrics_RV1000]])</f>
        <v>428</v>
      </c>
      <c r="Z347" s="1">
        <v>93</v>
      </c>
      <c r="AA347" s="1">
        <v>16</v>
      </c>
      <c r="AB347" s="1">
        <v>69</v>
      </c>
      <c r="AC347" s="1">
        <v>0</v>
      </c>
    </row>
    <row r="348" spans="9:29" outlineLevel="1" x14ac:dyDescent="0.45">
      <c r="I348" t="s">
        <v>607</v>
      </c>
      <c r="J348">
        <v>46</v>
      </c>
      <c r="K348" t="s">
        <v>607</v>
      </c>
      <c r="L348">
        <v>46</v>
      </c>
      <c r="M348" t="s">
        <v>850</v>
      </c>
      <c r="O348" s="2" t="s">
        <v>216</v>
      </c>
      <c r="P348" s="2">
        <v>1</v>
      </c>
      <c r="Q348" s="2">
        <v>0</v>
      </c>
      <c r="R348" s="2">
        <v>1</v>
      </c>
      <c r="S348" s="2">
        <v>1</v>
      </c>
      <c r="T348" s="2">
        <v>3</v>
      </c>
      <c r="U348" s="2">
        <f>IF(SUMIFS(StandardName[RankValueInTheRanking],StandardName[StandardizedName],THE_QS[[#This Row],[Nazwa uczelni]],StandardName[Ranking],$U$1)=0,$N$3,SUMIFS(StandardName[RankValueInTheRanking],StandardName[StandardizedName],THE_QS[[#This Row],[Nazwa uczelni]],StandardName[Ranking],$U$1))</f>
        <v>38</v>
      </c>
      <c r="V348" s="2">
        <f>IF(SUMIFS(StandardName[RankValueInTheRanking],StandardName[StandardizedName],THE_QS[[#This Row],[Nazwa uczelni]],StandardName[Ranking],$V$1)=0,$N$3,SUMIFS(StandardName[RankValueInTheRanking],StandardName[StandardizedName],THE_QS[[#This Row],[Nazwa uczelni]],StandardName[Ranking],$V$1))</f>
        <v>250</v>
      </c>
      <c r="W348" s="2">
        <f>IF(SUMIFS(StandardName[RankValueInTheRanking],StandardName[StandardizedName],THE_QS[[#This Row],[Nazwa uczelni]],StandardName[Ranking],$W$1)=0,$N$3,SUMIFS(StandardName[RankValueInTheRanking],StandardName[StandardizedName],THE_QS[[#This Row],[Nazwa uczelni]],StandardName[Ranking],$W$1))</f>
        <v>88</v>
      </c>
      <c r="X348" s="2">
        <f>IF(SUMIFS(StandardName[RankValueInTheRanking],StandardName[StandardizedName],THE_QS[[#This Row],[Nazwa uczelni]],StandardName[Ranking],$X$1)=0,$N$3,SUMIFS(StandardName[RankValueInTheRanking],StandardName[StandardizedName],THE_QS[[#This Row],[Nazwa uczelni]],StandardName[Ranking],$X$1))</f>
        <v>62</v>
      </c>
      <c r="Y348" s="2">
        <f>SUM(THE_QS[[#This Row],[THE_RV1000]:[Webometrics_RV1000]])</f>
        <v>438</v>
      </c>
      <c r="Z348" s="2">
        <v>38</v>
      </c>
      <c r="AA348" s="2">
        <v>0</v>
      </c>
      <c r="AB348" s="2">
        <v>88</v>
      </c>
      <c r="AC348" s="2">
        <v>62</v>
      </c>
    </row>
    <row r="349" spans="9:29" outlineLevel="1" x14ac:dyDescent="0.45">
      <c r="I349" t="s">
        <v>110</v>
      </c>
      <c r="J349">
        <v>47</v>
      </c>
      <c r="K349" t="s">
        <v>110</v>
      </c>
      <c r="L349">
        <v>47</v>
      </c>
      <c r="M349" t="s">
        <v>850</v>
      </c>
      <c r="O349" s="1" t="s">
        <v>326</v>
      </c>
      <c r="P349" s="1">
        <v>1</v>
      </c>
      <c r="Q349" s="1">
        <v>0</v>
      </c>
      <c r="R349" s="1">
        <v>1</v>
      </c>
      <c r="S349" s="1">
        <v>1</v>
      </c>
      <c r="T349" s="1">
        <v>3</v>
      </c>
      <c r="U349" s="2">
        <f>IF(SUMIFS(StandardName[RankValueInTheRanking],StandardName[StandardizedName],THE_QS[[#This Row],[Nazwa uczelni]],StandardName[Ranking],$U$1)=0,$N$3,SUMIFS(StandardName[RankValueInTheRanking],StandardName[StandardizedName],THE_QS[[#This Row],[Nazwa uczelni]],StandardName[Ranking],$U$1))</f>
        <v>60</v>
      </c>
      <c r="V349" s="2">
        <f>IF(SUMIFS(StandardName[RankValueInTheRanking],StandardName[StandardizedName],THE_QS[[#This Row],[Nazwa uczelni]],StandardName[Ranking],$V$1)=0,$N$3,SUMIFS(StandardName[RankValueInTheRanking],StandardName[StandardizedName],THE_QS[[#This Row],[Nazwa uczelni]],StandardName[Ranking],$V$1))</f>
        <v>250</v>
      </c>
      <c r="W349" s="2">
        <f>IF(SUMIFS(StandardName[RankValueInTheRanking],StandardName[StandardizedName],THE_QS[[#This Row],[Nazwa uczelni]],StandardName[Ranking],$W$1)=0,$N$3,SUMIFS(StandardName[RankValueInTheRanking],StandardName[StandardizedName],THE_QS[[#This Row],[Nazwa uczelni]],StandardName[Ranking],$W$1))</f>
        <v>58</v>
      </c>
      <c r="X349" s="2">
        <f>IF(SUMIFS(StandardName[RankValueInTheRanking],StandardName[StandardizedName],THE_QS[[#This Row],[Nazwa uczelni]],StandardName[Ranking],$X$1)=0,$N$3,SUMIFS(StandardName[RankValueInTheRanking],StandardName[StandardizedName],THE_QS[[#This Row],[Nazwa uczelni]],StandardName[Ranking],$X$1))</f>
        <v>73</v>
      </c>
      <c r="Y349" s="2">
        <f>SUM(THE_QS[[#This Row],[THE_RV1000]:[Webometrics_RV1000]])</f>
        <v>441</v>
      </c>
      <c r="Z349" s="1">
        <v>60</v>
      </c>
      <c r="AA349" s="1">
        <v>0</v>
      </c>
      <c r="AB349" s="1">
        <v>58</v>
      </c>
      <c r="AC349" s="1">
        <v>73</v>
      </c>
    </row>
    <row r="350" spans="9:29" outlineLevel="1" x14ac:dyDescent="0.45">
      <c r="I350" t="s">
        <v>814</v>
      </c>
      <c r="J350">
        <v>48</v>
      </c>
      <c r="K350" t="s">
        <v>814</v>
      </c>
      <c r="L350">
        <v>48</v>
      </c>
      <c r="M350" t="s">
        <v>850</v>
      </c>
      <c r="O350" s="2" t="s">
        <v>446</v>
      </c>
      <c r="P350" s="2">
        <v>1</v>
      </c>
      <c r="Q350" s="2">
        <v>1</v>
      </c>
      <c r="R350" s="2">
        <v>1</v>
      </c>
      <c r="S350" s="2">
        <v>0</v>
      </c>
      <c r="T350" s="2">
        <v>3</v>
      </c>
      <c r="U350" s="2">
        <f>IF(SUMIFS(StandardName[RankValueInTheRanking],StandardName[StandardizedName],THE_QS[[#This Row],[Nazwa uczelni]],StandardName[Ranking],$U$1)=0,$N$3,SUMIFS(StandardName[RankValueInTheRanking],StandardName[StandardizedName],THE_QS[[#This Row],[Nazwa uczelni]],StandardName[Ranking],$U$1))</f>
        <v>90</v>
      </c>
      <c r="V350" s="2">
        <f>IF(SUMIFS(StandardName[RankValueInTheRanking],StandardName[StandardizedName],THE_QS[[#This Row],[Nazwa uczelni]],StandardName[Ranking],$V$1)=0,$N$3,SUMIFS(StandardName[RankValueInTheRanking],StandardName[StandardizedName],THE_QS[[#This Row],[Nazwa uczelni]],StandardName[Ranking],$V$1))</f>
        <v>43</v>
      </c>
      <c r="W350" s="2">
        <f>IF(SUMIFS(StandardName[RankValueInTheRanking],StandardName[StandardizedName],THE_QS[[#This Row],[Nazwa uczelni]],StandardName[Ranking],$W$1)=0,$N$3,SUMIFS(StandardName[RankValueInTheRanking],StandardName[StandardizedName],THE_QS[[#This Row],[Nazwa uczelni]],StandardName[Ranking],$W$1))</f>
        <v>60</v>
      </c>
      <c r="X350" s="2">
        <f>IF(SUMIFS(StandardName[RankValueInTheRanking],StandardName[StandardizedName],THE_QS[[#This Row],[Nazwa uczelni]],StandardName[Ranking],$X$1)=0,$N$3,SUMIFS(StandardName[RankValueInTheRanking],StandardName[StandardizedName],THE_QS[[#This Row],[Nazwa uczelni]],StandardName[Ranking],$X$1))</f>
        <v>250</v>
      </c>
      <c r="Y350" s="2">
        <f>SUM(THE_QS[[#This Row],[THE_RV1000]:[Webometrics_RV1000]])</f>
        <v>443</v>
      </c>
      <c r="Z350" s="2">
        <v>90</v>
      </c>
      <c r="AA350" s="2">
        <v>43</v>
      </c>
      <c r="AB350" s="2">
        <v>60</v>
      </c>
      <c r="AC350" s="2">
        <v>0</v>
      </c>
    </row>
    <row r="351" spans="9:29" outlineLevel="1" x14ac:dyDescent="0.45">
      <c r="I351" t="s">
        <v>162</v>
      </c>
      <c r="J351">
        <v>49</v>
      </c>
      <c r="K351" t="s">
        <v>162</v>
      </c>
      <c r="L351">
        <v>49</v>
      </c>
      <c r="M351" t="s">
        <v>850</v>
      </c>
      <c r="O351" s="1" t="s">
        <v>234</v>
      </c>
      <c r="P351" s="1">
        <v>1</v>
      </c>
      <c r="Q351" s="1">
        <v>1</v>
      </c>
      <c r="R351" s="1">
        <v>1</v>
      </c>
      <c r="S351" s="1">
        <v>0</v>
      </c>
      <c r="T351" s="1">
        <v>3</v>
      </c>
      <c r="U351" s="2">
        <f>IF(SUMIFS(StandardName[RankValueInTheRanking],StandardName[StandardizedName],THE_QS[[#This Row],[Nazwa uczelni]],StandardName[Ranking],$U$1)=0,$N$3,SUMIFS(StandardName[RankValueInTheRanking],StandardName[StandardizedName],THE_QS[[#This Row],[Nazwa uczelni]],StandardName[Ranking],$U$1))</f>
        <v>42</v>
      </c>
      <c r="V351" s="2">
        <f>IF(SUMIFS(StandardName[RankValueInTheRanking],StandardName[StandardizedName],THE_QS[[#This Row],[Nazwa uczelni]],StandardName[Ranking],$V$1)=0,$N$3,SUMIFS(StandardName[RankValueInTheRanking],StandardName[StandardizedName],THE_QS[[#This Row],[Nazwa uczelni]],StandardName[Ranking],$V$1))</f>
        <v>95</v>
      </c>
      <c r="W351" s="2">
        <f>IF(SUMIFS(StandardName[RankValueInTheRanking],StandardName[StandardizedName],THE_QS[[#This Row],[Nazwa uczelni]],StandardName[Ranking],$W$1)=0,$N$3,SUMIFS(StandardName[RankValueInTheRanking],StandardName[StandardizedName],THE_QS[[#This Row],[Nazwa uczelni]],StandardName[Ranking],$W$1))</f>
        <v>76</v>
      </c>
      <c r="X351" s="2">
        <f>IF(SUMIFS(StandardName[RankValueInTheRanking],StandardName[StandardizedName],THE_QS[[#This Row],[Nazwa uczelni]],StandardName[Ranking],$X$1)=0,$N$3,SUMIFS(StandardName[RankValueInTheRanking],StandardName[StandardizedName],THE_QS[[#This Row],[Nazwa uczelni]],StandardName[Ranking],$X$1))</f>
        <v>250</v>
      </c>
      <c r="Y351" s="2">
        <f>SUM(THE_QS[[#This Row],[THE_RV1000]:[Webometrics_RV1000]])</f>
        <v>463</v>
      </c>
      <c r="Z351" s="1">
        <v>42</v>
      </c>
      <c r="AA351" s="1">
        <v>95</v>
      </c>
      <c r="AB351" s="1">
        <v>76</v>
      </c>
      <c r="AC351" s="1">
        <v>0</v>
      </c>
    </row>
    <row r="352" spans="9:29" outlineLevel="1" x14ac:dyDescent="0.45">
      <c r="I352" t="s">
        <v>572</v>
      </c>
      <c r="J352">
        <v>50</v>
      </c>
      <c r="K352" t="s">
        <v>572</v>
      </c>
      <c r="L352">
        <v>50</v>
      </c>
      <c r="M352" t="s">
        <v>850</v>
      </c>
      <c r="O352" s="2" t="s">
        <v>392</v>
      </c>
      <c r="P352" s="2">
        <v>1</v>
      </c>
      <c r="Q352" s="2">
        <v>1</v>
      </c>
      <c r="R352" s="2">
        <v>1</v>
      </c>
      <c r="S352" s="2">
        <v>0</v>
      </c>
      <c r="T352" s="2">
        <v>3</v>
      </c>
      <c r="U352" s="2">
        <f>IF(SUMIFS(StandardName[RankValueInTheRanking],StandardName[StandardizedName],THE_QS[[#This Row],[Nazwa uczelni]],StandardName[Ranking],$U$1)=0,$N$3,SUMIFS(StandardName[RankValueInTheRanking],StandardName[StandardizedName],THE_QS[[#This Row],[Nazwa uczelni]],StandardName[Ranking],$U$1))</f>
        <v>76</v>
      </c>
      <c r="V352" s="2">
        <f>IF(SUMIFS(StandardName[RankValueInTheRanking],StandardName[StandardizedName],THE_QS[[#This Row],[Nazwa uczelni]],StandardName[Ranking],$V$1)=0,$N$3,SUMIFS(StandardName[RankValueInTheRanking],StandardName[StandardizedName],THE_QS[[#This Row],[Nazwa uczelni]],StandardName[Ranking],$V$1))</f>
        <v>81</v>
      </c>
      <c r="W352" s="2">
        <f>IF(SUMIFS(StandardName[RankValueInTheRanking],StandardName[StandardizedName],THE_QS[[#This Row],[Nazwa uczelni]],StandardName[Ranking],$W$1)=0,$N$3,SUMIFS(StandardName[RankValueInTheRanking],StandardName[StandardizedName],THE_QS[[#This Row],[Nazwa uczelni]],StandardName[Ranking],$W$1))</f>
        <v>61</v>
      </c>
      <c r="X352" s="2">
        <f>IF(SUMIFS(StandardName[RankValueInTheRanking],StandardName[StandardizedName],THE_QS[[#This Row],[Nazwa uczelni]],StandardName[Ranking],$X$1)=0,$N$3,SUMIFS(StandardName[RankValueInTheRanking],StandardName[StandardizedName],THE_QS[[#This Row],[Nazwa uczelni]],StandardName[Ranking],$X$1))</f>
        <v>250</v>
      </c>
      <c r="Y352" s="2">
        <f>SUM(THE_QS[[#This Row],[THE_RV1000]:[Webometrics_RV1000]])</f>
        <v>468</v>
      </c>
      <c r="Z352" s="2">
        <v>76</v>
      </c>
      <c r="AA352" s="2">
        <v>81</v>
      </c>
      <c r="AB352" s="2">
        <v>61</v>
      </c>
      <c r="AC352" s="2">
        <v>0</v>
      </c>
    </row>
    <row r="353" spans="9:29" outlineLevel="1" x14ac:dyDescent="0.45">
      <c r="I353" t="s">
        <v>815</v>
      </c>
      <c r="J353">
        <v>51</v>
      </c>
      <c r="K353" t="s">
        <v>815</v>
      </c>
      <c r="L353">
        <v>51</v>
      </c>
      <c r="M353" t="s">
        <v>850</v>
      </c>
      <c r="O353" s="1" t="s">
        <v>369</v>
      </c>
      <c r="P353" s="1">
        <v>1</v>
      </c>
      <c r="Q353" s="1">
        <v>0</v>
      </c>
      <c r="R353" s="1">
        <v>1</v>
      </c>
      <c r="S353" s="1">
        <v>1</v>
      </c>
      <c r="T353" s="1">
        <v>3</v>
      </c>
      <c r="U353" s="2">
        <f>IF(SUMIFS(StandardName[RankValueInTheRanking],StandardName[StandardizedName],THE_QS[[#This Row],[Nazwa uczelni]],StandardName[Ranking],$U$1)=0,$N$3,SUMIFS(StandardName[RankValueInTheRanking],StandardName[StandardizedName],THE_QS[[#This Row],[Nazwa uczelni]],StandardName[Ranking],$U$1))</f>
        <v>70</v>
      </c>
      <c r="V353" s="2">
        <f>IF(SUMIFS(StandardName[RankValueInTheRanking],StandardName[StandardizedName],THE_QS[[#This Row],[Nazwa uczelni]],StandardName[Ranking],$V$1)=0,$N$3,SUMIFS(StandardName[RankValueInTheRanking],StandardName[StandardizedName],THE_QS[[#This Row],[Nazwa uczelni]],StandardName[Ranking],$V$1))</f>
        <v>250</v>
      </c>
      <c r="W353" s="2">
        <f>IF(SUMIFS(StandardName[RankValueInTheRanking],StandardName[StandardizedName],THE_QS[[#This Row],[Nazwa uczelni]],StandardName[Ranking],$W$1)=0,$N$3,SUMIFS(StandardName[RankValueInTheRanking],StandardName[StandardizedName],THE_QS[[#This Row],[Nazwa uczelni]],StandardName[Ranking],$W$1))</f>
        <v>61</v>
      </c>
      <c r="X353" s="2">
        <f>IF(SUMIFS(StandardName[RankValueInTheRanking],StandardName[StandardizedName],THE_QS[[#This Row],[Nazwa uczelni]],StandardName[Ranking],$X$1)=0,$N$3,SUMIFS(StandardName[RankValueInTheRanking],StandardName[StandardizedName],THE_QS[[#This Row],[Nazwa uczelni]],StandardName[Ranking],$X$1))</f>
        <v>94</v>
      </c>
      <c r="Y353" s="2">
        <f>SUM(THE_QS[[#This Row],[THE_RV1000]:[Webometrics_RV1000]])</f>
        <v>475</v>
      </c>
      <c r="Z353" s="1">
        <v>70</v>
      </c>
      <c r="AA353" s="1">
        <v>0</v>
      </c>
      <c r="AB353" s="1">
        <v>61</v>
      </c>
      <c r="AC353" s="1">
        <v>94</v>
      </c>
    </row>
    <row r="354" spans="9:29" outlineLevel="1" x14ac:dyDescent="0.45">
      <c r="I354" t="s">
        <v>816</v>
      </c>
      <c r="J354">
        <v>52</v>
      </c>
      <c r="K354" t="s">
        <v>816</v>
      </c>
      <c r="L354">
        <v>52</v>
      </c>
      <c r="M354" t="s">
        <v>850</v>
      </c>
      <c r="O354" s="2" t="s">
        <v>474</v>
      </c>
      <c r="P354" s="2">
        <v>1</v>
      </c>
      <c r="Q354" s="2">
        <v>0</v>
      </c>
      <c r="R354" s="2">
        <v>1</v>
      </c>
      <c r="S354" s="2">
        <v>1</v>
      </c>
      <c r="T354" s="2">
        <v>3</v>
      </c>
      <c r="U354" s="2">
        <f>IF(SUMIFS(StandardName[RankValueInTheRanking],StandardName[StandardizedName],THE_QS[[#This Row],[Nazwa uczelni]],StandardName[Ranking],$U$1)=0,$N$3,SUMIFS(StandardName[RankValueInTheRanking],StandardName[StandardizedName],THE_QS[[#This Row],[Nazwa uczelni]],StandardName[Ranking],$U$1))</f>
        <v>99</v>
      </c>
      <c r="V354" s="2">
        <f>IF(SUMIFS(StandardName[RankValueInTheRanking],StandardName[StandardizedName],THE_QS[[#This Row],[Nazwa uczelni]],StandardName[Ranking],$V$1)=0,$N$3,SUMIFS(StandardName[RankValueInTheRanking],StandardName[StandardizedName],THE_QS[[#This Row],[Nazwa uczelni]],StandardName[Ranking],$V$1))</f>
        <v>250</v>
      </c>
      <c r="W354" s="2">
        <f>IF(SUMIFS(StandardName[RankValueInTheRanking],StandardName[StandardizedName],THE_QS[[#This Row],[Nazwa uczelni]],StandardName[Ranking],$W$1)=0,$N$3,SUMIFS(StandardName[RankValueInTheRanking],StandardName[StandardizedName],THE_QS[[#This Row],[Nazwa uczelni]],StandardName[Ranking],$W$1))</f>
        <v>54</v>
      </c>
      <c r="X354" s="2">
        <f>IF(SUMIFS(StandardName[RankValueInTheRanking],StandardName[StandardizedName],THE_QS[[#This Row],[Nazwa uczelni]],StandardName[Ranking],$X$1)=0,$N$3,SUMIFS(StandardName[RankValueInTheRanking],StandardName[StandardizedName],THE_QS[[#This Row],[Nazwa uczelni]],StandardName[Ranking],$X$1))</f>
        <v>89</v>
      </c>
      <c r="Y354" s="2">
        <f>SUM(THE_QS[[#This Row],[THE_RV1000]:[Webometrics_RV1000]])</f>
        <v>492</v>
      </c>
      <c r="Z354" s="2">
        <v>99</v>
      </c>
      <c r="AA354" s="2">
        <v>0</v>
      </c>
      <c r="AB354" s="2">
        <v>54</v>
      </c>
      <c r="AC354" s="2">
        <v>89</v>
      </c>
    </row>
    <row r="355" spans="9:29" outlineLevel="1" x14ac:dyDescent="0.45">
      <c r="I355" t="s">
        <v>817</v>
      </c>
      <c r="J355">
        <v>53</v>
      </c>
      <c r="K355" t="s">
        <v>817</v>
      </c>
      <c r="L355">
        <v>53</v>
      </c>
      <c r="M355" t="s">
        <v>850</v>
      </c>
      <c r="O355" s="1" t="s">
        <v>190</v>
      </c>
      <c r="P355" s="1">
        <v>1</v>
      </c>
      <c r="Q355" s="1">
        <v>0</v>
      </c>
      <c r="R355" s="1">
        <v>1</v>
      </c>
      <c r="S355" s="1">
        <v>0</v>
      </c>
      <c r="T355" s="1">
        <v>2</v>
      </c>
      <c r="U355" s="2">
        <f>IF(SUMIFS(StandardName[RankValueInTheRanking],StandardName[StandardizedName],THE_QS[[#This Row],[Nazwa uczelni]],StandardName[Ranking],$U$1)=0,$N$3,SUMIFS(StandardName[RankValueInTheRanking],StandardName[StandardizedName],THE_QS[[#This Row],[Nazwa uczelni]],StandardName[Ranking],$U$1))</f>
        <v>33</v>
      </c>
      <c r="V355" s="2">
        <f>IF(SUMIFS(StandardName[RankValueInTheRanking],StandardName[StandardizedName],THE_QS[[#This Row],[Nazwa uczelni]],StandardName[Ranking],$V$1)=0,$N$3,SUMIFS(StandardName[RankValueInTheRanking],StandardName[StandardizedName],THE_QS[[#This Row],[Nazwa uczelni]],StandardName[Ranking],$V$1))</f>
        <v>250</v>
      </c>
      <c r="W355" s="2">
        <f>IF(SUMIFS(StandardName[RankValueInTheRanking],StandardName[StandardizedName],THE_QS[[#This Row],[Nazwa uczelni]],StandardName[Ranking],$W$1)=0,$N$3,SUMIFS(StandardName[RankValueInTheRanking],StandardName[StandardizedName],THE_QS[[#This Row],[Nazwa uczelni]],StandardName[Ranking],$W$1))</f>
        <v>59</v>
      </c>
      <c r="X355" s="2">
        <f>IF(SUMIFS(StandardName[RankValueInTheRanking],StandardName[StandardizedName],THE_QS[[#This Row],[Nazwa uczelni]],StandardName[Ranking],$X$1)=0,$N$3,SUMIFS(StandardName[RankValueInTheRanking],StandardName[StandardizedName],THE_QS[[#This Row],[Nazwa uczelni]],StandardName[Ranking],$X$1))</f>
        <v>250</v>
      </c>
      <c r="Y355" s="2">
        <f>SUM(THE_QS[[#This Row],[THE_RV1000]:[Webometrics_RV1000]])</f>
        <v>592</v>
      </c>
      <c r="Z355" s="1">
        <v>33</v>
      </c>
      <c r="AA355" s="1">
        <v>0</v>
      </c>
      <c r="AB355" s="1">
        <v>59</v>
      </c>
      <c r="AC355" s="1">
        <v>0</v>
      </c>
    </row>
    <row r="356" spans="9:29" outlineLevel="1" x14ac:dyDescent="0.45">
      <c r="I356" t="s">
        <v>818</v>
      </c>
      <c r="J356">
        <v>54</v>
      </c>
      <c r="K356" t="s">
        <v>818</v>
      </c>
      <c r="L356">
        <v>54</v>
      </c>
      <c r="M356" t="s">
        <v>850</v>
      </c>
      <c r="O356" s="2" t="s">
        <v>211</v>
      </c>
      <c r="P356" s="2">
        <v>1</v>
      </c>
      <c r="Q356" s="2">
        <v>0</v>
      </c>
      <c r="R356" s="2">
        <v>1</v>
      </c>
      <c r="S356" s="2">
        <v>0</v>
      </c>
      <c r="T356" s="2">
        <v>2</v>
      </c>
      <c r="U356" s="2">
        <f>IF(SUMIFS(StandardName[RankValueInTheRanking],StandardName[StandardizedName],THE_QS[[#This Row],[Nazwa uczelni]],StandardName[Ranking],$U$1)=0,$N$3,SUMIFS(StandardName[RankValueInTheRanking],StandardName[StandardizedName],THE_QS[[#This Row],[Nazwa uczelni]],StandardName[Ranking],$U$1))</f>
        <v>37</v>
      </c>
      <c r="V356" s="2">
        <f>IF(SUMIFS(StandardName[RankValueInTheRanking],StandardName[StandardizedName],THE_QS[[#This Row],[Nazwa uczelni]],StandardName[Ranking],$V$1)=0,$N$3,SUMIFS(StandardName[RankValueInTheRanking],StandardName[StandardizedName],THE_QS[[#This Row],[Nazwa uczelni]],StandardName[Ranking],$V$1))</f>
        <v>250</v>
      </c>
      <c r="W356" s="2">
        <f>IF(SUMIFS(StandardName[RankValueInTheRanking],StandardName[StandardizedName],THE_QS[[#This Row],[Nazwa uczelni]],StandardName[Ranking],$W$1)=0,$N$3,SUMIFS(StandardName[RankValueInTheRanking],StandardName[StandardizedName],THE_QS[[#This Row],[Nazwa uczelni]],StandardName[Ranking],$W$1))</f>
        <v>56</v>
      </c>
      <c r="X356" s="2">
        <f>IF(SUMIFS(StandardName[RankValueInTheRanking],StandardName[StandardizedName],THE_QS[[#This Row],[Nazwa uczelni]],StandardName[Ranking],$X$1)=0,$N$3,SUMIFS(StandardName[RankValueInTheRanking],StandardName[StandardizedName],THE_QS[[#This Row],[Nazwa uczelni]],StandardName[Ranking],$X$1))</f>
        <v>250</v>
      </c>
      <c r="Y356" s="2">
        <f>SUM(THE_QS[[#This Row],[THE_RV1000]:[Webometrics_RV1000]])</f>
        <v>593</v>
      </c>
      <c r="Z356" s="2">
        <v>37</v>
      </c>
      <c r="AA356" s="2">
        <v>0</v>
      </c>
      <c r="AB356" s="2">
        <v>56</v>
      </c>
      <c r="AC356" s="2">
        <v>0</v>
      </c>
    </row>
    <row r="357" spans="9:29" outlineLevel="1" x14ac:dyDescent="0.45">
      <c r="I357" t="s">
        <v>625</v>
      </c>
      <c r="J357">
        <v>55</v>
      </c>
      <c r="K357" t="s">
        <v>625</v>
      </c>
      <c r="L357">
        <v>55</v>
      </c>
      <c r="M357" t="s">
        <v>850</v>
      </c>
      <c r="O357" s="1" t="s">
        <v>319</v>
      </c>
      <c r="P357" s="1">
        <v>1</v>
      </c>
      <c r="Q357" s="1">
        <v>0</v>
      </c>
      <c r="R357" s="1">
        <v>1</v>
      </c>
      <c r="S357" s="1">
        <v>0</v>
      </c>
      <c r="T357" s="1">
        <v>2</v>
      </c>
      <c r="U357" s="2">
        <f>IF(SUMIFS(StandardName[RankValueInTheRanking],StandardName[StandardizedName],THE_QS[[#This Row],[Nazwa uczelni]],StandardName[Ranking],$U$1)=0,$N$3,SUMIFS(StandardName[RankValueInTheRanking],StandardName[StandardizedName],THE_QS[[#This Row],[Nazwa uczelni]],StandardName[Ranking],$U$1))</f>
        <v>58</v>
      </c>
      <c r="V357" s="2">
        <f>IF(SUMIFS(StandardName[RankValueInTheRanking],StandardName[StandardizedName],THE_QS[[#This Row],[Nazwa uczelni]],StandardName[Ranking],$V$1)=0,$N$3,SUMIFS(StandardName[RankValueInTheRanking],StandardName[StandardizedName],THE_QS[[#This Row],[Nazwa uczelni]],StandardName[Ranking],$V$1))</f>
        <v>250</v>
      </c>
      <c r="W357" s="2">
        <f>IF(SUMIFS(StandardName[RankValueInTheRanking],StandardName[StandardizedName],THE_QS[[#This Row],[Nazwa uczelni]],StandardName[Ranking],$W$1)=0,$N$3,SUMIFS(StandardName[RankValueInTheRanking],StandardName[StandardizedName],THE_QS[[#This Row],[Nazwa uczelni]],StandardName[Ranking],$W$1))</f>
        <v>40</v>
      </c>
      <c r="X357" s="2">
        <f>IF(SUMIFS(StandardName[RankValueInTheRanking],StandardName[StandardizedName],THE_QS[[#This Row],[Nazwa uczelni]],StandardName[Ranking],$X$1)=0,$N$3,SUMIFS(StandardName[RankValueInTheRanking],StandardName[StandardizedName],THE_QS[[#This Row],[Nazwa uczelni]],StandardName[Ranking],$X$1))</f>
        <v>250</v>
      </c>
      <c r="Y357" s="2">
        <f>SUM(THE_QS[[#This Row],[THE_RV1000]:[Webometrics_RV1000]])</f>
        <v>598</v>
      </c>
      <c r="Z357" s="1">
        <v>58</v>
      </c>
      <c r="AA357" s="1">
        <v>0</v>
      </c>
      <c r="AB357" s="1">
        <v>40</v>
      </c>
      <c r="AC357" s="1">
        <v>0</v>
      </c>
    </row>
    <row r="358" spans="9:29" outlineLevel="1" x14ac:dyDescent="0.45">
      <c r="I358" t="s">
        <v>372</v>
      </c>
      <c r="J358">
        <v>56</v>
      </c>
      <c r="K358" t="s">
        <v>372</v>
      </c>
      <c r="L358">
        <v>56</v>
      </c>
      <c r="M358" t="s">
        <v>850</v>
      </c>
      <c r="O358" s="2" t="s">
        <v>239</v>
      </c>
      <c r="P358" s="2">
        <v>1</v>
      </c>
      <c r="Q358" s="2">
        <v>0</v>
      </c>
      <c r="R358" s="2">
        <v>1</v>
      </c>
      <c r="S358" s="2">
        <v>0</v>
      </c>
      <c r="T358" s="2">
        <v>2</v>
      </c>
      <c r="U358" s="2">
        <f>IF(SUMIFS(StandardName[RankValueInTheRanking],StandardName[StandardizedName],THE_QS[[#This Row],[Nazwa uczelni]],StandardName[Ranking],$U$1)=0,$N$3,SUMIFS(StandardName[RankValueInTheRanking],StandardName[StandardizedName],THE_QS[[#This Row],[Nazwa uczelni]],StandardName[Ranking],$U$1))</f>
        <v>43</v>
      </c>
      <c r="V358" s="2">
        <f>IF(SUMIFS(StandardName[RankValueInTheRanking],StandardName[StandardizedName],THE_QS[[#This Row],[Nazwa uczelni]],StandardName[Ranking],$V$1)=0,$N$3,SUMIFS(StandardName[RankValueInTheRanking],StandardName[StandardizedName],THE_QS[[#This Row],[Nazwa uczelni]],StandardName[Ranking],$V$1))</f>
        <v>250</v>
      </c>
      <c r="W358" s="2">
        <f>IF(SUMIFS(StandardName[RankValueInTheRanking],StandardName[StandardizedName],THE_QS[[#This Row],[Nazwa uczelni]],StandardName[Ranking],$W$1)=0,$N$3,SUMIFS(StandardName[RankValueInTheRanking],StandardName[StandardizedName],THE_QS[[#This Row],[Nazwa uczelni]],StandardName[Ranking],$W$1))</f>
        <v>65</v>
      </c>
      <c r="X358" s="2">
        <f>IF(SUMIFS(StandardName[RankValueInTheRanking],StandardName[StandardizedName],THE_QS[[#This Row],[Nazwa uczelni]],StandardName[Ranking],$X$1)=0,$N$3,SUMIFS(StandardName[RankValueInTheRanking],StandardName[StandardizedName],THE_QS[[#This Row],[Nazwa uczelni]],StandardName[Ranking],$X$1))</f>
        <v>250</v>
      </c>
      <c r="Y358" s="2">
        <f>SUM(THE_QS[[#This Row],[THE_RV1000]:[Webometrics_RV1000]])</f>
        <v>608</v>
      </c>
      <c r="Z358" s="2">
        <v>43</v>
      </c>
      <c r="AA358" s="2">
        <v>0</v>
      </c>
      <c r="AB358" s="2">
        <v>65</v>
      </c>
      <c r="AC358" s="2">
        <v>0</v>
      </c>
    </row>
    <row r="359" spans="9:29" outlineLevel="1" x14ac:dyDescent="0.45">
      <c r="I359" t="s">
        <v>245</v>
      </c>
      <c r="J359">
        <v>57</v>
      </c>
      <c r="K359" t="s">
        <v>245</v>
      </c>
      <c r="L359">
        <v>57</v>
      </c>
      <c r="M359" t="s">
        <v>850</v>
      </c>
      <c r="O359" s="1" t="s">
        <v>689</v>
      </c>
      <c r="P359" s="1">
        <v>1</v>
      </c>
      <c r="Q359" s="1">
        <v>0</v>
      </c>
      <c r="R359" s="1">
        <v>1</v>
      </c>
      <c r="S359" s="1">
        <v>0</v>
      </c>
      <c r="T359" s="1">
        <v>2</v>
      </c>
      <c r="U359" s="2">
        <f>IF(SUMIFS(StandardName[RankValueInTheRanking],StandardName[StandardizedName],THE_QS[[#This Row],[Nazwa uczelni]],StandardName[Ranking],$U$1)=0,$N$3,SUMIFS(StandardName[RankValueInTheRanking],StandardName[StandardizedName],THE_QS[[#This Row],[Nazwa uczelni]],StandardName[Ranking],$U$1))</f>
        <v>91</v>
      </c>
      <c r="V359" s="2">
        <f>IF(SUMIFS(StandardName[RankValueInTheRanking],StandardName[StandardizedName],THE_QS[[#This Row],[Nazwa uczelni]],StandardName[Ranking],$V$1)=0,$N$3,SUMIFS(StandardName[RankValueInTheRanking],StandardName[StandardizedName],THE_QS[[#This Row],[Nazwa uczelni]],StandardName[Ranking],$V$1))</f>
        <v>250</v>
      </c>
      <c r="W359" s="2">
        <f>IF(SUMIFS(StandardName[RankValueInTheRanking],StandardName[StandardizedName],THE_QS[[#This Row],[Nazwa uczelni]],StandardName[Ranking],$W$1)=0,$N$3,SUMIFS(StandardName[RankValueInTheRanking],StandardName[StandardizedName],THE_QS[[#This Row],[Nazwa uczelni]],StandardName[Ranking],$W$1))</f>
        <v>42</v>
      </c>
      <c r="X359" s="2">
        <f>IF(SUMIFS(StandardName[RankValueInTheRanking],StandardName[StandardizedName],THE_QS[[#This Row],[Nazwa uczelni]],StandardName[Ranking],$X$1)=0,$N$3,SUMIFS(StandardName[RankValueInTheRanking],StandardName[StandardizedName],THE_QS[[#This Row],[Nazwa uczelni]],StandardName[Ranking],$X$1))</f>
        <v>250</v>
      </c>
      <c r="Y359" s="2">
        <f>SUM(THE_QS[[#This Row],[THE_RV1000]:[Webometrics_RV1000]])</f>
        <v>633</v>
      </c>
      <c r="Z359" s="1">
        <v>91</v>
      </c>
      <c r="AA359" s="1">
        <v>0</v>
      </c>
      <c r="AB359" s="1">
        <v>42</v>
      </c>
      <c r="AC359" s="1">
        <v>0</v>
      </c>
    </row>
    <row r="360" spans="9:29" outlineLevel="1" x14ac:dyDescent="0.45">
      <c r="I360" t="s">
        <v>471</v>
      </c>
      <c r="J360">
        <v>58</v>
      </c>
      <c r="K360" t="s">
        <v>471</v>
      </c>
      <c r="L360">
        <v>58</v>
      </c>
      <c r="M360" t="s">
        <v>850</v>
      </c>
      <c r="O360" s="2" t="s">
        <v>466</v>
      </c>
      <c r="P360" s="2">
        <v>1</v>
      </c>
      <c r="Q360" s="2">
        <v>0</v>
      </c>
      <c r="R360" s="2">
        <v>1</v>
      </c>
      <c r="S360" s="2">
        <v>0</v>
      </c>
      <c r="T360" s="2">
        <v>2</v>
      </c>
      <c r="U360" s="2">
        <f>IF(SUMIFS(StandardName[RankValueInTheRanking],StandardName[StandardizedName],THE_QS[[#This Row],[Nazwa uczelni]],StandardName[Ranking],$U$1)=0,$N$3,SUMIFS(StandardName[RankValueInTheRanking],StandardName[StandardizedName],THE_QS[[#This Row],[Nazwa uczelni]],StandardName[Ranking],$U$1))</f>
        <v>95</v>
      </c>
      <c r="V360" s="2">
        <f>IF(SUMIFS(StandardName[RankValueInTheRanking],StandardName[StandardizedName],THE_QS[[#This Row],[Nazwa uczelni]],StandardName[Ranking],$V$1)=0,$N$3,SUMIFS(StandardName[RankValueInTheRanking],StandardName[StandardizedName],THE_QS[[#This Row],[Nazwa uczelni]],StandardName[Ranking],$V$1))</f>
        <v>250</v>
      </c>
      <c r="W360" s="2">
        <f>IF(SUMIFS(StandardName[RankValueInTheRanking],StandardName[StandardizedName],THE_QS[[#This Row],[Nazwa uczelni]],StandardName[Ranking],$W$1)=0,$N$3,SUMIFS(StandardName[RankValueInTheRanking],StandardName[StandardizedName],THE_QS[[#This Row],[Nazwa uczelni]],StandardName[Ranking],$W$1))</f>
        <v>48</v>
      </c>
      <c r="X360" s="2">
        <f>IF(SUMIFS(StandardName[RankValueInTheRanking],StandardName[StandardizedName],THE_QS[[#This Row],[Nazwa uczelni]],StandardName[Ranking],$X$1)=0,$N$3,SUMIFS(StandardName[RankValueInTheRanking],StandardName[StandardizedName],THE_QS[[#This Row],[Nazwa uczelni]],StandardName[Ranking],$X$1))</f>
        <v>250</v>
      </c>
      <c r="Y360" s="2">
        <f>SUM(THE_QS[[#This Row],[THE_RV1000]:[Webometrics_RV1000]])</f>
        <v>643</v>
      </c>
      <c r="Z360" s="2">
        <v>95</v>
      </c>
      <c r="AA360" s="2">
        <v>0</v>
      </c>
      <c r="AB360" s="2">
        <v>48</v>
      </c>
      <c r="AC360" s="2">
        <v>0</v>
      </c>
    </row>
    <row r="361" spans="9:29" outlineLevel="1" x14ac:dyDescent="0.45">
      <c r="I361" t="s">
        <v>819</v>
      </c>
      <c r="J361">
        <v>59</v>
      </c>
      <c r="K361" t="s">
        <v>31</v>
      </c>
      <c r="L361">
        <v>59</v>
      </c>
      <c r="M361" t="s">
        <v>850</v>
      </c>
      <c r="O361" s="1" t="s">
        <v>403</v>
      </c>
      <c r="P361" s="1">
        <v>1</v>
      </c>
      <c r="Q361" s="1">
        <v>0</v>
      </c>
      <c r="R361" s="1">
        <v>1</v>
      </c>
      <c r="S361" s="1">
        <v>0</v>
      </c>
      <c r="T361" s="1">
        <v>2</v>
      </c>
      <c r="U361" s="2">
        <f>IF(SUMIFS(StandardName[RankValueInTheRanking],StandardName[StandardizedName],THE_QS[[#This Row],[Nazwa uczelni]],StandardName[Ranking],$U$1)=0,$N$3,SUMIFS(StandardName[RankValueInTheRanking],StandardName[StandardizedName],THE_QS[[#This Row],[Nazwa uczelni]],StandardName[Ranking],$U$1))</f>
        <v>79</v>
      </c>
      <c r="V361" s="2">
        <f>IF(SUMIFS(StandardName[RankValueInTheRanking],StandardName[StandardizedName],THE_QS[[#This Row],[Nazwa uczelni]],StandardName[Ranking],$V$1)=0,$N$3,SUMIFS(StandardName[RankValueInTheRanking],StandardName[StandardizedName],THE_QS[[#This Row],[Nazwa uczelni]],StandardName[Ranking],$V$1))</f>
        <v>250</v>
      </c>
      <c r="W361" s="2">
        <f>IF(SUMIFS(StandardName[RankValueInTheRanking],StandardName[StandardizedName],THE_QS[[#This Row],[Nazwa uczelni]],StandardName[Ranking],$W$1)=0,$N$3,SUMIFS(StandardName[RankValueInTheRanking],StandardName[StandardizedName],THE_QS[[#This Row],[Nazwa uczelni]],StandardName[Ranking],$W$1))</f>
        <v>65</v>
      </c>
      <c r="X361" s="2">
        <f>IF(SUMIFS(StandardName[RankValueInTheRanking],StandardName[StandardizedName],THE_QS[[#This Row],[Nazwa uczelni]],StandardName[Ranking],$X$1)=0,$N$3,SUMIFS(StandardName[RankValueInTheRanking],StandardName[StandardizedName],THE_QS[[#This Row],[Nazwa uczelni]],StandardName[Ranking],$X$1))</f>
        <v>250</v>
      </c>
      <c r="Y361" s="2">
        <f>SUM(THE_QS[[#This Row],[THE_RV1000]:[Webometrics_RV1000]])</f>
        <v>644</v>
      </c>
      <c r="Z361" s="1">
        <v>79</v>
      </c>
      <c r="AA361" s="1">
        <v>0</v>
      </c>
      <c r="AB361" s="1">
        <v>65</v>
      </c>
      <c r="AC361" s="1">
        <v>0</v>
      </c>
    </row>
    <row r="362" spans="9:29" outlineLevel="1" x14ac:dyDescent="0.45">
      <c r="I362" t="s">
        <v>253</v>
      </c>
      <c r="J362">
        <v>60</v>
      </c>
      <c r="K362" t="s">
        <v>253</v>
      </c>
      <c r="L362">
        <v>60</v>
      </c>
      <c r="M362" t="s">
        <v>850</v>
      </c>
      <c r="O362" s="2" t="s">
        <v>732</v>
      </c>
      <c r="P362" s="2">
        <v>1</v>
      </c>
      <c r="Q362" s="2">
        <v>0</v>
      </c>
      <c r="R362" s="2">
        <v>1</v>
      </c>
      <c r="S362" s="2">
        <v>0</v>
      </c>
      <c r="T362" s="2">
        <v>2</v>
      </c>
      <c r="U362" s="2">
        <f>IF(SUMIFS(StandardName[RankValueInTheRanking],StandardName[StandardizedName],THE_QS[[#This Row],[Nazwa uczelni]],StandardName[Ranking],$U$1)=0,$N$3,SUMIFS(StandardName[RankValueInTheRanking],StandardName[StandardizedName],THE_QS[[#This Row],[Nazwa uczelni]],StandardName[Ranking],$U$1))</f>
        <v>78</v>
      </c>
      <c r="V362" s="2">
        <f>IF(SUMIFS(StandardName[RankValueInTheRanking],StandardName[StandardizedName],THE_QS[[#This Row],[Nazwa uczelni]],StandardName[Ranking],$V$1)=0,$N$3,SUMIFS(StandardName[RankValueInTheRanking],StandardName[StandardizedName],THE_QS[[#This Row],[Nazwa uczelni]],StandardName[Ranking],$V$1))</f>
        <v>250</v>
      </c>
      <c r="W362" s="2">
        <f>IF(SUMIFS(StandardName[RankValueInTheRanking],StandardName[StandardizedName],THE_QS[[#This Row],[Nazwa uczelni]],StandardName[Ranking],$W$1)=0,$N$3,SUMIFS(StandardName[RankValueInTheRanking],StandardName[StandardizedName],THE_QS[[#This Row],[Nazwa uczelni]],StandardName[Ranking],$W$1))</f>
        <v>73</v>
      </c>
      <c r="X362" s="2">
        <f>IF(SUMIFS(StandardName[RankValueInTheRanking],StandardName[StandardizedName],THE_QS[[#This Row],[Nazwa uczelni]],StandardName[Ranking],$X$1)=0,$N$3,SUMIFS(StandardName[RankValueInTheRanking],StandardName[StandardizedName],THE_QS[[#This Row],[Nazwa uczelni]],StandardName[Ranking],$X$1))</f>
        <v>250</v>
      </c>
      <c r="Y362" s="2">
        <f>SUM(THE_QS[[#This Row],[THE_RV1000]:[Webometrics_RV1000]])</f>
        <v>651</v>
      </c>
      <c r="Z362" s="2">
        <v>78</v>
      </c>
      <c r="AA362" s="2">
        <v>0</v>
      </c>
      <c r="AB362" s="2">
        <v>73</v>
      </c>
      <c r="AC362" s="2">
        <v>0</v>
      </c>
    </row>
    <row r="363" spans="9:29" outlineLevel="1" x14ac:dyDescent="0.45">
      <c r="I363" t="s">
        <v>296</v>
      </c>
      <c r="J363">
        <v>61</v>
      </c>
      <c r="K363" t="s">
        <v>296</v>
      </c>
      <c r="L363">
        <v>61</v>
      </c>
      <c r="M363" t="s">
        <v>850</v>
      </c>
      <c r="O363" s="8" t="s">
        <v>420</v>
      </c>
      <c r="P363" s="8">
        <v>1</v>
      </c>
      <c r="Q363" s="8">
        <v>0</v>
      </c>
      <c r="R363" s="8">
        <v>1</v>
      </c>
      <c r="S363" s="8">
        <v>0</v>
      </c>
      <c r="T363" s="8">
        <v>2</v>
      </c>
      <c r="U363" s="2">
        <f>IF(SUMIFS(StandardName[RankValueInTheRanking],StandardName[StandardizedName],THE_QS[[#This Row],[Nazwa uczelni]],StandardName[Ranking],$U$1)=0,$N$3,SUMIFS(StandardName[RankValueInTheRanking],StandardName[StandardizedName],THE_QS[[#This Row],[Nazwa uczelni]],StandardName[Ranking],$U$1))</f>
        <v>82</v>
      </c>
      <c r="V363" s="2">
        <f>IF(SUMIFS(StandardName[RankValueInTheRanking],StandardName[StandardizedName],THE_QS[[#This Row],[Nazwa uczelni]],StandardName[Ranking],$V$1)=0,$N$3,SUMIFS(StandardName[RankValueInTheRanking],StandardName[StandardizedName],THE_QS[[#This Row],[Nazwa uczelni]],StandardName[Ranking],$V$1))</f>
        <v>250</v>
      </c>
      <c r="W363" s="2">
        <f>IF(SUMIFS(StandardName[RankValueInTheRanking],StandardName[StandardizedName],THE_QS[[#This Row],[Nazwa uczelni]],StandardName[Ranking],$W$1)=0,$N$3,SUMIFS(StandardName[RankValueInTheRanking],StandardName[StandardizedName],THE_QS[[#This Row],[Nazwa uczelni]],StandardName[Ranking],$W$1))</f>
        <v>81</v>
      </c>
      <c r="X363" s="2">
        <f>IF(SUMIFS(StandardName[RankValueInTheRanking],StandardName[StandardizedName],THE_QS[[#This Row],[Nazwa uczelni]],StandardName[Ranking],$X$1)=0,$N$3,SUMIFS(StandardName[RankValueInTheRanking],StandardName[StandardizedName],THE_QS[[#This Row],[Nazwa uczelni]],StandardName[Ranking],$X$1))</f>
        <v>250</v>
      </c>
      <c r="Y363" s="2">
        <f>SUM(THE_QS[[#This Row],[THE_RV1000]:[Webometrics_RV1000]])</f>
        <v>663</v>
      </c>
      <c r="Z363" s="8">
        <v>82</v>
      </c>
      <c r="AA363" s="8">
        <v>0</v>
      </c>
      <c r="AB363" s="8">
        <v>81</v>
      </c>
      <c r="AC363" s="8">
        <v>0</v>
      </c>
    </row>
    <row r="364" spans="9:29" x14ac:dyDescent="0.45">
      <c r="I364" t="s">
        <v>216</v>
      </c>
      <c r="J364">
        <v>62</v>
      </c>
      <c r="K364" t="s">
        <v>216</v>
      </c>
      <c r="L364">
        <v>62</v>
      </c>
      <c r="M364" t="s">
        <v>850</v>
      </c>
    </row>
    <row r="365" spans="9:29" x14ac:dyDescent="0.45">
      <c r="I365" t="s">
        <v>820</v>
      </c>
      <c r="J365">
        <v>63</v>
      </c>
      <c r="K365" t="s">
        <v>820</v>
      </c>
      <c r="L365">
        <v>63</v>
      </c>
      <c r="M365" t="s">
        <v>850</v>
      </c>
      <c r="O365" t="s">
        <v>883</v>
      </c>
    </row>
    <row r="366" spans="9:29" x14ac:dyDescent="0.45">
      <c r="I366" t="s">
        <v>821</v>
      </c>
      <c r="J366">
        <v>64</v>
      </c>
      <c r="K366" t="s">
        <v>821</v>
      </c>
      <c r="L366">
        <v>64</v>
      </c>
      <c r="M366" t="s">
        <v>850</v>
      </c>
      <c r="O366" s="7" t="s">
        <v>855</v>
      </c>
      <c r="P366" s="7" t="s">
        <v>846</v>
      </c>
      <c r="Q366" s="7" t="s">
        <v>848</v>
      </c>
      <c r="R366" s="7" t="s">
        <v>849</v>
      </c>
      <c r="S366" s="7" t="s">
        <v>850</v>
      </c>
      <c r="T366" s="7" t="s">
        <v>861</v>
      </c>
      <c r="U366" s="7" t="s">
        <v>875</v>
      </c>
      <c r="V366" s="7" t="s">
        <v>876</v>
      </c>
      <c r="W366" s="7" t="s">
        <v>877</v>
      </c>
      <c r="X366" s="7" t="s">
        <v>878</v>
      </c>
      <c r="Y366" s="7" t="s">
        <v>874</v>
      </c>
      <c r="Z366" s="7" t="s">
        <v>870</v>
      </c>
      <c r="AA366" s="7" t="s">
        <v>871</v>
      </c>
      <c r="AB366" s="7" t="s">
        <v>872</v>
      </c>
      <c r="AC366" s="7" t="s">
        <v>873</v>
      </c>
    </row>
    <row r="367" spans="9:29" outlineLevel="1" x14ac:dyDescent="0.45">
      <c r="I367" t="s">
        <v>822</v>
      </c>
      <c r="J367">
        <v>65</v>
      </c>
      <c r="K367" t="s">
        <v>352</v>
      </c>
      <c r="L367">
        <v>65</v>
      </c>
      <c r="M367" t="s">
        <v>850</v>
      </c>
      <c r="O367" s="1" t="s">
        <v>8</v>
      </c>
      <c r="P367" s="1">
        <v>1</v>
      </c>
      <c r="Q367" s="1">
        <v>1</v>
      </c>
      <c r="R367" s="1">
        <v>1</v>
      </c>
      <c r="S367" s="1">
        <v>1</v>
      </c>
      <c r="T367" s="1">
        <v>4</v>
      </c>
      <c r="U367" s="2">
        <f>IF(SUMIFS(StandardName[RankValueInTheRanking],StandardName[StandardizedName],THE_Webometrics[[#This Row],[Nazwa uczelni]],StandardName[Ranking],$U$1)=0,$N$3,SUMIFS(StandardName[RankValueInTheRanking],StandardName[StandardizedName],THE_Webometrics[[#This Row],[Nazwa uczelni]],StandardName[Ranking],$U$1))</f>
        <v>2</v>
      </c>
      <c r="V367" s="2">
        <f>IF(SUMIFS(StandardName[RankValueInTheRanking],StandardName[StandardizedName],THE_Webometrics[[#This Row],[Nazwa uczelni]],StandardName[Ranking],$V$1)=0,$N$3,SUMIFS(StandardName[RankValueInTheRanking],StandardName[StandardizedName],THE_Webometrics[[#This Row],[Nazwa uczelni]],StandardName[Ranking],$V$1))</f>
        <v>1</v>
      </c>
      <c r="W367" s="2">
        <f>IF(SUMIFS(StandardName[RankValueInTheRanking],StandardName[StandardizedName],THE_Webometrics[[#This Row],[Nazwa uczelni]],StandardName[Ranking],$W$1)=0,$N$3,SUMIFS(StandardName[RankValueInTheRanking],StandardName[StandardizedName],THE_Webometrics[[#This Row],[Nazwa uczelni]],StandardName[Ranking],$W$1))</f>
        <v>5</v>
      </c>
      <c r="X367" s="2">
        <f>IF(SUMIFS(StandardName[RankValueInTheRanking],StandardName[StandardizedName],THE_Webometrics[[#This Row],[Nazwa uczelni]],StandardName[Ranking],$X$1)=0,$N$3,SUMIFS(StandardName[RankValueInTheRanking],StandardName[StandardizedName],THE_Webometrics[[#This Row],[Nazwa uczelni]],StandardName[Ranking],$X$1))</f>
        <v>1</v>
      </c>
      <c r="Y367" s="2">
        <f>SUM(THE_Webometrics[[#This Row],[THE_RV1000]:[Webometrics_RV1000]])</f>
        <v>9</v>
      </c>
      <c r="Z367" s="1">
        <v>2</v>
      </c>
      <c r="AA367" s="1">
        <v>1</v>
      </c>
      <c r="AB367" s="1">
        <v>5</v>
      </c>
      <c r="AC367" s="1">
        <v>1</v>
      </c>
    </row>
    <row r="368" spans="9:29" outlineLevel="1" x14ac:dyDescent="0.45">
      <c r="I368" t="s">
        <v>823</v>
      </c>
      <c r="J368">
        <v>66</v>
      </c>
      <c r="K368" t="s">
        <v>854</v>
      </c>
      <c r="L368">
        <v>66</v>
      </c>
      <c r="M368" t="s">
        <v>850</v>
      </c>
      <c r="O368" s="2" t="s">
        <v>21</v>
      </c>
      <c r="P368" s="2">
        <v>1</v>
      </c>
      <c r="Q368" s="2">
        <v>1</v>
      </c>
      <c r="R368" s="2">
        <v>1</v>
      </c>
      <c r="S368" s="2">
        <v>1</v>
      </c>
      <c r="T368" s="2">
        <v>4</v>
      </c>
      <c r="U368" s="2">
        <f>IF(SUMIFS(StandardName[RankValueInTheRanking],StandardName[StandardizedName],THE_Webometrics[[#This Row],[Nazwa uczelni]],StandardName[Ranking],$U$1)=0,$N$3,SUMIFS(StandardName[RankValueInTheRanking],StandardName[StandardizedName],THE_Webometrics[[#This Row],[Nazwa uczelni]],StandardName[Ranking],$U$1))</f>
        <v>3</v>
      </c>
      <c r="V368" s="2">
        <f>IF(SUMIFS(StandardName[RankValueInTheRanking],StandardName[StandardizedName],THE_Webometrics[[#This Row],[Nazwa uczelni]],StandardName[Ranking],$V$1)=0,$N$3,SUMIFS(StandardName[RankValueInTheRanking],StandardName[StandardizedName],THE_Webometrics[[#This Row],[Nazwa uczelni]],StandardName[Ranking],$V$1))</f>
        <v>2</v>
      </c>
      <c r="W368" s="2">
        <f>IF(SUMIFS(StandardName[RankValueInTheRanking],StandardName[StandardizedName],THE_Webometrics[[#This Row],[Nazwa uczelni]],StandardName[Ranking],$W$1)=0,$N$3,SUMIFS(StandardName[RankValueInTheRanking],StandardName[StandardizedName],THE_Webometrics[[#This Row],[Nazwa uczelni]],StandardName[Ranking],$W$1))</f>
        <v>3</v>
      </c>
      <c r="X368" s="2">
        <f>IF(SUMIFS(StandardName[RankValueInTheRanking],StandardName[StandardizedName],THE_Webometrics[[#This Row],[Nazwa uczelni]],StandardName[Ranking],$X$1)=0,$N$3,SUMIFS(StandardName[RankValueInTheRanking],StandardName[StandardizedName],THE_Webometrics[[#This Row],[Nazwa uczelni]],StandardName[Ranking],$X$1))</f>
        <v>2</v>
      </c>
      <c r="Y368" s="2">
        <f>SUM(THE_Webometrics[[#This Row],[THE_RV1000]:[Webometrics_RV1000]])</f>
        <v>10</v>
      </c>
      <c r="Z368" s="2">
        <v>3</v>
      </c>
      <c r="AA368" s="2">
        <v>2</v>
      </c>
      <c r="AB368" s="2">
        <v>3</v>
      </c>
      <c r="AC368" s="2">
        <v>2</v>
      </c>
    </row>
    <row r="369" spans="9:29" outlineLevel="1" x14ac:dyDescent="0.45">
      <c r="I369" t="s">
        <v>558</v>
      </c>
      <c r="J369">
        <v>67</v>
      </c>
      <c r="K369" t="s">
        <v>199</v>
      </c>
      <c r="L369">
        <v>67</v>
      </c>
      <c r="M369" t="s">
        <v>850</v>
      </c>
      <c r="O369" s="1" t="s">
        <v>27</v>
      </c>
      <c r="P369" s="1">
        <v>1</v>
      </c>
      <c r="Q369" s="1">
        <v>1</v>
      </c>
      <c r="R369" s="1">
        <v>1</v>
      </c>
      <c r="S369" s="1">
        <v>1</v>
      </c>
      <c r="T369" s="1">
        <v>4</v>
      </c>
      <c r="U369" s="2">
        <f>IF(SUMIFS(StandardName[RankValueInTheRanking],StandardName[StandardizedName],THE_Webometrics[[#This Row],[Nazwa uczelni]],StandardName[Ranking],$U$1)=0,$N$3,SUMIFS(StandardName[RankValueInTheRanking],StandardName[StandardizedName],THE_Webometrics[[#This Row],[Nazwa uczelni]],StandardName[Ranking],$U$1))</f>
        <v>5</v>
      </c>
      <c r="V369" s="2">
        <f>IF(SUMIFS(StandardName[RankValueInTheRanking],StandardName[StandardizedName],THE_Webometrics[[#This Row],[Nazwa uczelni]],StandardName[Ranking],$V$1)=0,$N$3,SUMIFS(StandardName[RankValueInTheRanking],StandardName[StandardizedName],THE_Webometrics[[#This Row],[Nazwa uczelni]],StandardName[Ranking],$V$1))</f>
        <v>3</v>
      </c>
      <c r="W369" s="2">
        <f>IF(SUMIFS(StandardName[RankValueInTheRanking],StandardName[StandardizedName],THE_Webometrics[[#This Row],[Nazwa uczelni]],StandardName[Ranking],$W$1)=0,$N$3,SUMIFS(StandardName[RankValueInTheRanking],StandardName[StandardizedName],THE_Webometrics[[#This Row],[Nazwa uczelni]],StandardName[Ranking],$W$1))</f>
        <v>1</v>
      </c>
      <c r="X369" s="2">
        <f>IF(SUMIFS(StandardName[RankValueInTheRanking],StandardName[StandardizedName],THE_Webometrics[[#This Row],[Nazwa uczelni]],StandardName[Ranking],$X$1)=0,$N$3,SUMIFS(StandardName[RankValueInTheRanking],StandardName[StandardizedName],THE_Webometrics[[#This Row],[Nazwa uczelni]],StandardName[Ranking],$X$1))</f>
        <v>3</v>
      </c>
      <c r="Y369" s="2">
        <f>SUM(THE_Webometrics[[#This Row],[THE_RV1000]:[Webometrics_RV1000]])</f>
        <v>12</v>
      </c>
      <c r="Z369" s="1">
        <v>5</v>
      </c>
      <c r="AA369" s="1">
        <v>3</v>
      </c>
      <c r="AB369" s="1">
        <v>1</v>
      </c>
      <c r="AC369" s="1">
        <v>3</v>
      </c>
    </row>
    <row r="370" spans="9:29" outlineLevel="1" x14ac:dyDescent="0.45">
      <c r="I370" t="s">
        <v>824</v>
      </c>
      <c r="J370">
        <v>68</v>
      </c>
      <c r="K370" t="s">
        <v>355</v>
      </c>
      <c r="L370">
        <v>68</v>
      </c>
      <c r="M370" t="s">
        <v>850</v>
      </c>
      <c r="O370" s="2" t="s">
        <v>0</v>
      </c>
      <c r="P370" s="2">
        <v>1</v>
      </c>
      <c r="Q370" s="2">
        <v>1</v>
      </c>
      <c r="R370" s="2">
        <v>1</v>
      </c>
      <c r="S370" s="2">
        <v>1</v>
      </c>
      <c r="T370" s="2">
        <v>4</v>
      </c>
      <c r="U370" s="2">
        <f>IF(SUMIFS(StandardName[RankValueInTheRanking],StandardName[StandardizedName],THE_Webometrics[[#This Row],[Nazwa uczelni]],StandardName[Ranking],$U$1)=0,$N$3,SUMIFS(StandardName[RankValueInTheRanking],StandardName[StandardizedName],THE_Webometrics[[#This Row],[Nazwa uczelni]],StandardName[Ranking],$U$1))</f>
        <v>1</v>
      </c>
      <c r="V370" s="2">
        <f>IF(SUMIFS(StandardName[RankValueInTheRanking],StandardName[StandardizedName],THE_Webometrics[[#This Row],[Nazwa uczelni]],StandardName[Ranking],$V$1)=0,$N$3,SUMIFS(StandardName[RankValueInTheRanking],StandardName[StandardizedName],THE_Webometrics[[#This Row],[Nazwa uczelni]],StandardName[Ranking],$V$1))</f>
        <v>7</v>
      </c>
      <c r="W370" s="2">
        <f>IF(SUMIFS(StandardName[RankValueInTheRanking],StandardName[StandardizedName],THE_Webometrics[[#This Row],[Nazwa uczelni]],StandardName[Ranking],$W$1)=0,$N$3,SUMIFS(StandardName[RankValueInTheRanking],StandardName[StandardizedName],THE_Webometrics[[#This Row],[Nazwa uczelni]],StandardName[Ranking],$W$1))</f>
        <v>4</v>
      </c>
      <c r="X370" s="2">
        <f>IF(SUMIFS(StandardName[RankValueInTheRanking],StandardName[StandardizedName],THE_Webometrics[[#This Row],[Nazwa uczelni]],StandardName[Ranking],$X$1)=0,$N$3,SUMIFS(StandardName[RankValueInTheRanking],StandardName[StandardizedName],THE_Webometrics[[#This Row],[Nazwa uczelni]],StandardName[Ranking],$X$1))</f>
        <v>5</v>
      </c>
      <c r="Y370" s="2">
        <f>SUM(THE_Webometrics[[#This Row],[THE_RV1000]:[Webometrics_RV1000]])</f>
        <v>17</v>
      </c>
      <c r="Z370" s="2">
        <v>1</v>
      </c>
      <c r="AA370" s="2">
        <v>7</v>
      </c>
      <c r="AB370" s="2">
        <v>4</v>
      </c>
      <c r="AC370" s="2">
        <v>5</v>
      </c>
    </row>
    <row r="371" spans="9:29" outlineLevel="1" x14ac:dyDescent="0.45">
      <c r="I371" t="s">
        <v>825</v>
      </c>
      <c r="J371">
        <v>69</v>
      </c>
      <c r="K371" t="s">
        <v>286</v>
      </c>
      <c r="L371">
        <v>69</v>
      </c>
      <c r="M371" t="s">
        <v>850</v>
      </c>
      <c r="O371" s="1" t="s">
        <v>15</v>
      </c>
      <c r="P371" s="1">
        <v>1</v>
      </c>
      <c r="Q371" s="1">
        <v>1</v>
      </c>
      <c r="R371" s="1">
        <v>1</v>
      </c>
      <c r="S371" s="1">
        <v>1</v>
      </c>
      <c r="T371" s="1">
        <v>4</v>
      </c>
      <c r="U371" s="2">
        <f>IF(SUMIFS(StandardName[RankValueInTheRanking],StandardName[StandardizedName],THE_Webometrics[[#This Row],[Nazwa uczelni]],StandardName[Ranking],$U$1)=0,$N$3,SUMIFS(StandardName[RankValueInTheRanking],StandardName[StandardizedName],THE_Webometrics[[#This Row],[Nazwa uczelni]],StandardName[Ranking],$U$1))</f>
        <v>3</v>
      </c>
      <c r="V371" s="2">
        <f>IF(SUMIFS(StandardName[RankValueInTheRanking],StandardName[StandardizedName],THE_Webometrics[[#This Row],[Nazwa uczelni]],StandardName[Ranking],$V$1)=0,$N$3,SUMIFS(StandardName[RankValueInTheRanking],StandardName[StandardizedName],THE_Webometrics[[#This Row],[Nazwa uczelni]],StandardName[Ranking],$V$1))</f>
        <v>4</v>
      </c>
      <c r="W371" s="2">
        <f>IF(SUMIFS(StandardName[RankValueInTheRanking],StandardName[StandardizedName],THE_Webometrics[[#This Row],[Nazwa uczelni]],StandardName[Ranking],$W$1)=0,$N$3,SUMIFS(StandardName[RankValueInTheRanking],StandardName[StandardizedName],THE_Webometrics[[#This Row],[Nazwa uczelni]],StandardName[Ranking],$W$1))</f>
        <v>2</v>
      </c>
      <c r="X371" s="2">
        <f>IF(SUMIFS(StandardName[RankValueInTheRanking],StandardName[StandardizedName],THE_Webometrics[[#This Row],[Nazwa uczelni]],StandardName[Ranking],$X$1)=0,$N$3,SUMIFS(StandardName[RankValueInTheRanking],StandardName[StandardizedName],THE_Webometrics[[#This Row],[Nazwa uczelni]],StandardName[Ranking],$X$1))</f>
        <v>12</v>
      </c>
      <c r="Y371" s="2">
        <f>SUM(THE_Webometrics[[#This Row],[THE_RV1000]:[Webometrics_RV1000]])</f>
        <v>21</v>
      </c>
      <c r="Z371" s="1">
        <v>3</v>
      </c>
      <c r="AA371" s="1">
        <v>4</v>
      </c>
      <c r="AB371" s="1">
        <v>2</v>
      </c>
      <c r="AC371" s="1">
        <v>12</v>
      </c>
    </row>
    <row r="372" spans="9:29" outlineLevel="1" x14ac:dyDescent="0.45">
      <c r="I372" t="s">
        <v>826</v>
      </c>
      <c r="J372">
        <v>70</v>
      </c>
      <c r="K372" t="s">
        <v>826</v>
      </c>
      <c r="L372">
        <v>70</v>
      </c>
      <c r="M372" t="s">
        <v>850</v>
      </c>
      <c r="O372" s="2" t="s">
        <v>792</v>
      </c>
      <c r="P372" s="2">
        <v>1</v>
      </c>
      <c r="Q372" s="2">
        <v>1</v>
      </c>
      <c r="R372" s="2">
        <v>1</v>
      </c>
      <c r="S372" s="2">
        <v>1</v>
      </c>
      <c r="T372" s="2">
        <v>4</v>
      </c>
      <c r="U372" s="2">
        <f>IF(SUMIFS(StandardName[RankValueInTheRanking],StandardName[StandardizedName],THE_Webometrics[[#This Row],[Nazwa uczelni]],StandardName[Ranking],$U$1)=0,$N$3,SUMIFS(StandardName[RankValueInTheRanking],StandardName[StandardizedName],THE_Webometrics[[#This Row],[Nazwa uczelni]],StandardName[Ranking],$U$1))</f>
        <v>8</v>
      </c>
      <c r="V372" s="2">
        <f>IF(SUMIFS(StandardName[RankValueInTheRanking],StandardName[StandardizedName],THE_Webometrics[[#This Row],[Nazwa uczelni]],StandardName[Ranking],$V$1)=0,$N$3,SUMIFS(StandardName[RankValueInTheRanking],StandardName[StandardizedName],THE_Webometrics[[#This Row],[Nazwa uczelni]],StandardName[Ranking],$V$1))</f>
        <v>5</v>
      </c>
      <c r="W372" s="2">
        <f>IF(SUMIFS(StandardName[RankValueInTheRanking],StandardName[StandardizedName],THE_Webometrics[[#This Row],[Nazwa uczelni]],StandardName[Ranking],$W$1)=0,$N$3,SUMIFS(StandardName[RankValueInTheRanking],StandardName[StandardizedName],THE_Webometrics[[#This Row],[Nazwa uczelni]],StandardName[Ranking],$W$1))</f>
        <v>27</v>
      </c>
      <c r="X372" s="2">
        <f>IF(SUMIFS(StandardName[RankValueInTheRanking],StandardName[StandardizedName],THE_Webometrics[[#This Row],[Nazwa uczelni]],StandardName[Ranking],$X$1)=0,$N$3,SUMIFS(StandardName[RankValueInTheRanking],StandardName[StandardizedName],THE_Webometrics[[#This Row],[Nazwa uczelni]],StandardName[Ranking],$X$1))</f>
        <v>4</v>
      </c>
      <c r="Y372" s="2">
        <f>SUM(THE_Webometrics[[#This Row],[THE_RV1000]:[Webometrics_RV1000]])</f>
        <v>44</v>
      </c>
      <c r="Z372" s="2">
        <v>8</v>
      </c>
      <c r="AA372" s="2">
        <v>5</v>
      </c>
      <c r="AB372" s="2">
        <v>27</v>
      </c>
      <c r="AC372" s="2">
        <v>4</v>
      </c>
    </row>
    <row r="373" spans="9:29" outlineLevel="1" x14ac:dyDescent="0.45">
      <c r="I373" t="s">
        <v>617</v>
      </c>
      <c r="J373">
        <v>71</v>
      </c>
      <c r="K373" t="s">
        <v>617</v>
      </c>
      <c r="L373">
        <v>71</v>
      </c>
      <c r="M373" t="s">
        <v>850</v>
      </c>
      <c r="O373" s="1" t="s">
        <v>61</v>
      </c>
      <c r="P373" s="1">
        <v>1</v>
      </c>
      <c r="Q373" s="1">
        <v>1</v>
      </c>
      <c r="R373" s="1">
        <v>1</v>
      </c>
      <c r="S373" s="1">
        <v>1</v>
      </c>
      <c r="T373" s="1">
        <v>4</v>
      </c>
      <c r="U373" s="2">
        <f>IF(SUMIFS(StandardName[RankValueInTheRanking],StandardName[StandardizedName],THE_Webometrics[[#This Row],[Nazwa uczelni]],StandardName[Ranking],$U$1)=0,$N$3,SUMIFS(StandardName[RankValueInTheRanking],StandardName[StandardizedName],THE_Webometrics[[#This Row],[Nazwa uczelni]],StandardName[Ranking],$U$1))</f>
        <v>11</v>
      </c>
      <c r="V373" s="2">
        <f>IF(SUMIFS(StandardName[RankValueInTheRanking],StandardName[StandardizedName],THE_Webometrics[[#This Row],[Nazwa uczelni]],StandardName[Ranking],$V$1)=0,$N$3,SUMIFS(StandardName[RankValueInTheRanking],StandardName[StandardizedName],THE_Webometrics[[#This Row],[Nazwa uczelni]],StandardName[Ranking],$V$1))</f>
        <v>8</v>
      </c>
      <c r="W373" s="2">
        <f>IF(SUMIFS(StandardName[RankValueInTheRanking],StandardName[StandardizedName],THE_Webometrics[[#This Row],[Nazwa uczelni]],StandardName[Ranking],$W$1)=0,$N$3,SUMIFS(StandardName[RankValueInTheRanking],StandardName[StandardizedName],THE_Webometrics[[#This Row],[Nazwa uczelni]],StandardName[Ranking],$W$1))</f>
        <v>22</v>
      </c>
      <c r="X373" s="2">
        <f>IF(SUMIFS(StandardName[RankValueInTheRanking],StandardName[StandardizedName],THE_Webometrics[[#This Row],[Nazwa uczelni]],StandardName[Ranking],$X$1)=0,$N$3,SUMIFS(StandardName[RankValueInTheRanking],StandardName[StandardizedName],THE_Webometrics[[#This Row],[Nazwa uczelni]],StandardName[Ranking],$X$1))</f>
        <v>9</v>
      </c>
      <c r="Y373" s="2">
        <f>SUM(THE_Webometrics[[#This Row],[THE_RV1000]:[Webometrics_RV1000]])</f>
        <v>50</v>
      </c>
      <c r="Z373" s="1">
        <v>11</v>
      </c>
      <c r="AA373" s="1">
        <v>8</v>
      </c>
      <c r="AB373" s="1">
        <v>22</v>
      </c>
      <c r="AC373" s="1">
        <v>9</v>
      </c>
    </row>
    <row r="374" spans="9:29" outlineLevel="1" x14ac:dyDescent="0.45">
      <c r="I374" t="s">
        <v>416</v>
      </c>
      <c r="J374">
        <v>72</v>
      </c>
      <c r="K374" t="s">
        <v>416</v>
      </c>
      <c r="L374">
        <v>72</v>
      </c>
      <c r="M374" t="s">
        <v>850</v>
      </c>
      <c r="O374" s="2" t="s">
        <v>48</v>
      </c>
      <c r="P374" s="2">
        <v>1</v>
      </c>
      <c r="Q374" s="2">
        <v>1</v>
      </c>
      <c r="R374" s="2">
        <v>1</v>
      </c>
      <c r="S374" s="2">
        <v>1</v>
      </c>
      <c r="T374" s="2">
        <v>4</v>
      </c>
      <c r="U374" s="2">
        <f>IF(SUMIFS(StandardName[RankValueInTheRanking],StandardName[StandardizedName],THE_Webometrics[[#This Row],[Nazwa uczelni]],StandardName[Ranking],$U$1)=0,$N$3,SUMIFS(StandardName[RankValueInTheRanking],StandardName[StandardizedName],THE_Webometrics[[#This Row],[Nazwa uczelni]],StandardName[Ranking],$U$1))</f>
        <v>9</v>
      </c>
      <c r="V374" s="2">
        <f>IF(SUMIFS(StandardName[RankValueInTheRanking],StandardName[StandardizedName],THE_Webometrics[[#This Row],[Nazwa uczelni]],StandardName[Ranking],$V$1)=0,$N$3,SUMIFS(StandardName[RankValueInTheRanking],StandardName[StandardizedName],THE_Webometrics[[#This Row],[Nazwa uczelni]],StandardName[Ranking],$V$1))</f>
        <v>11</v>
      </c>
      <c r="W374" s="2">
        <f>IF(SUMIFS(StandardName[RankValueInTheRanking],StandardName[StandardizedName],THE_Webometrics[[#This Row],[Nazwa uczelni]],StandardName[Ranking],$W$1)=0,$N$3,SUMIFS(StandardName[RankValueInTheRanking],StandardName[StandardizedName],THE_Webometrics[[#This Row],[Nazwa uczelni]],StandardName[Ranking],$W$1))</f>
        <v>18</v>
      </c>
      <c r="X374" s="2">
        <f>IF(SUMIFS(StandardName[RankValueInTheRanking],StandardName[StandardizedName],THE_Webometrics[[#This Row],[Nazwa uczelni]],StandardName[Ranking],$X$1)=0,$N$3,SUMIFS(StandardName[RankValueInTheRanking],StandardName[StandardizedName],THE_Webometrics[[#This Row],[Nazwa uczelni]],StandardName[Ranking],$X$1))</f>
        <v>14</v>
      </c>
      <c r="Y374" s="2">
        <f>SUM(THE_Webometrics[[#This Row],[THE_RV1000]:[Webometrics_RV1000]])</f>
        <v>52</v>
      </c>
      <c r="Z374" s="2">
        <v>9</v>
      </c>
      <c r="AA374" s="2">
        <v>11</v>
      </c>
      <c r="AB374" s="2">
        <v>18</v>
      </c>
      <c r="AC374" s="2">
        <v>14</v>
      </c>
    </row>
    <row r="375" spans="9:29" outlineLevel="1" x14ac:dyDescent="0.45">
      <c r="I375" t="s">
        <v>827</v>
      </c>
      <c r="J375">
        <v>73</v>
      </c>
      <c r="K375" t="s">
        <v>326</v>
      </c>
      <c r="L375">
        <v>73</v>
      </c>
      <c r="M375" t="s">
        <v>850</v>
      </c>
      <c r="O375" s="1" t="s">
        <v>79</v>
      </c>
      <c r="P375" s="1">
        <v>1</v>
      </c>
      <c r="Q375" s="1">
        <v>1</v>
      </c>
      <c r="R375" s="1">
        <v>1</v>
      </c>
      <c r="S375" s="1">
        <v>1</v>
      </c>
      <c r="T375" s="1">
        <v>4</v>
      </c>
      <c r="U375" s="2">
        <f>IF(SUMIFS(StandardName[RankValueInTheRanking],StandardName[StandardizedName],THE_Webometrics[[#This Row],[Nazwa uczelni]],StandardName[Ranking],$U$1)=0,$N$3,SUMIFS(StandardName[RankValueInTheRanking],StandardName[StandardizedName],THE_Webometrics[[#This Row],[Nazwa uczelni]],StandardName[Ranking],$U$1))</f>
        <v>14</v>
      </c>
      <c r="V375" s="2">
        <f>IF(SUMIFS(StandardName[RankValueInTheRanking],StandardName[StandardizedName],THE_Webometrics[[#This Row],[Nazwa uczelni]],StandardName[Ranking],$V$1)=0,$N$3,SUMIFS(StandardName[RankValueInTheRanking],StandardName[StandardizedName],THE_Webometrics[[#This Row],[Nazwa uczelni]],StandardName[Ranking],$V$1))</f>
        <v>15</v>
      </c>
      <c r="W375" s="2">
        <f>IF(SUMIFS(StandardName[RankValueInTheRanking],StandardName[StandardizedName],THE_Webometrics[[#This Row],[Nazwa uczelni]],StandardName[Ranking],$W$1)=0,$N$3,SUMIFS(StandardName[RankValueInTheRanking],StandardName[StandardizedName],THE_Webometrics[[#This Row],[Nazwa uczelni]],StandardName[Ranking],$W$1))</f>
        <v>13</v>
      </c>
      <c r="X375" s="2">
        <f>IF(SUMIFS(StandardName[RankValueInTheRanking],StandardName[StandardizedName],THE_Webometrics[[#This Row],[Nazwa uczelni]],StandardName[Ranking],$X$1)=0,$N$3,SUMIFS(StandardName[RankValueInTheRanking],StandardName[StandardizedName],THE_Webometrics[[#This Row],[Nazwa uczelni]],StandardName[Ranking],$X$1))</f>
        <v>11</v>
      </c>
      <c r="Y375" s="2">
        <f>SUM(THE_Webometrics[[#This Row],[THE_RV1000]:[Webometrics_RV1000]])</f>
        <v>53</v>
      </c>
      <c r="Z375" s="1">
        <v>14</v>
      </c>
      <c r="AA375" s="1">
        <v>15</v>
      </c>
      <c r="AB375" s="1">
        <v>13</v>
      </c>
      <c r="AC375" s="1">
        <v>11</v>
      </c>
    </row>
    <row r="376" spans="9:29" outlineLevel="1" x14ac:dyDescent="0.45">
      <c r="I376" t="s">
        <v>828</v>
      </c>
      <c r="J376">
        <v>74</v>
      </c>
      <c r="K376" t="s">
        <v>545</v>
      </c>
      <c r="L376">
        <v>74</v>
      </c>
      <c r="M376" t="s">
        <v>850</v>
      </c>
      <c r="O376" s="2" t="s">
        <v>36</v>
      </c>
      <c r="P376" s="2">
        <v>1</v>
      </c>
      <c r="Q376" s="2">
        <v>1</v>
      </c>
      <c r="R376" s="2">
        <v>1</v>
      </c>
      <c r="S376" s="2">
        <v>1</v>
      </c>
      <c r="T376" s="2">
        <v>4</v>
      </c>
      <c r="U376" s="2">
        <f>IF(SUMIFS(StandardName[RankValueInTheRanking],StandardName[StandardizedName],THE_Webometrics[[#This Row],[Nazwa uczelni]],StandardName[Ranking],$U$1)=0,$N$3,SUMIFS(StandardName[RankValueInTheRanking],StandardName[StandardizedName],THE_Webometrics[[#This Row],[Nazwa uczelni]],StandardName[Ranking],$U$1))</f>
        <v>7</v>
      </c>
      <c r="V376" s="2">
        <f>IF(SUMIFS(StandardName[RankValueInTheRanking],StandardName[StandardizedName],THE_Webometrics[[#This Row],[Nazwa uczelni]],StandardName[Ranking],$V$1)=0,$N$3,SUMIFS(StandardName[RankValueInTheRanking],StandardName[StandardizedName],THE_Webometrics[[#This Row],[Nazwa uczelni]],StandardName[Ranking],$V$1))</f>
        <v>6</v>
      </c>
      <c r="W376" s="2">
        <f>IF(SUMIFS(StandardName[RankValueInTheRanking],StandardName[StandardizedName],THE_Webometrics[[#This Row],[Nazwa uczelni]],StandardName[Ranking],$W$1)=0,$N$3,SUMIFS(StandardName[RankValueInTheRanking],StandardName[StandardizedName],THE_Webometrics[[#This Row],[Nazwa uczelni]],StandardName[Ranking],$W$1))</f>
        <v>16</v>
      </c>
      <c r="X376" s="2">
        <f>IF(SUMIFS(StandardName[RankValueInTheRanking],StandardName[StandardizedName],THE_Webometrics[[#This Row],[Nazwa uczelni]],StandardName[Ranking],$X$1)=0,$N$3,SUMIFS(StandardName[RankValueInTheRanking],StandardName[StandardizedName],THE_Webometrics[[#This Row],[Nazwa uczelni]],StandardName[Ranking],$X$1))</f>
        <v>26</v>
      </c>
      <c r="Y376" s="2">
        <f>SUM(THE_Webometrics[[#This Row],[THE_RV1000]:[Webometrics_RV1000]])</f>
        <v>55</v>
      </c>
      <c r="Z376" s="2">
        <v>7</v>
      </c>
      <c r="AA376" s="2">
        <v>6</v>
      </c>
      <c r="AB376" s="2">
        <v>16</v>
      </c>
      <c r="AC376" s="2">
        <v>26</v>
      </c>
    </row>
    <row r="377" spans="9:29" outlineLevel="1" x14ac:dyDescent="0.45">
      <c r="I377" t="s">
        <v>179</v>
      </c>
      <c r="J377">
        <v>75</v>
      </c>
      <c r="K377" t="s">
        <v>179</v>
      </c>
      <c r="L377">
        <v>75</v>
      </c>
      <c r="M377" t="s">
        <v>850</v>
      </c>
      <c r="O377" s="1" t="s">
        <v>118</v>
      </c>
      <c r="P377" s="1">
        <v>1</v>
      </c>
      <c r="Q377" s="1">
        <v>1</v>
      </c>
      <c r="R377" s="1">
        <v>1</v>
      </c>
      <c r="S377" s="1">
        <v>1</v>
      </c>
      <c r="T377" s="1">
        <v>4</v>
      </c>
      <c r="U377" s="2">
        <f>IF(SUMIFS(StandardName[RankValueInTheRanking],StandardName[StandardizedName],THE_Webometrics[[#This Row],[Nazwa uczelni]],StandardName[Ranking],$U$1)=0,$N$3,SUMIFS(StandardName[RankValueInTheRanking],StandardName[StandardizedName],THE_Webometrics[[#This Row],[Nazwa uczelni]],StandardName[Ranking],$U$1))</f>
        <v>20</v>
      </c>
      <c r="V377" s="2">
        <f>IF(SUMIFS(StandardName[RankValueInTheRanking],StandardName[StandardizedName],THE_Webometrics[[#This Row],[Nazwa uczelni]],StandardName[Ranking],$V$1)=0,$N$3,SUMIFS(StandardName[RankValueInTheRanking],StandardName[StandardizedName],THE_Webometrics[[#This Row],[Nazwa uczelni]],StandardName[Ranking],$V$1))</f>
        <v>12</v>
      </c>
      <c r="W377" s="2">
        <f>IF(SUMIFS(StandardName[RankValueInTheRanking],StandardName[StandardizedName],THE_Webometrics[[#This Row],[Nazwa uczelni]],StandardName[Ranking],$W$1)=0,$N$3,SUMIFS(StandardName[RankValueInTheRanking],StandardName[StandardizedName],THE_Webometrics[[#This Row],[Nazwa uczelni]],StandardName[Ranking],$W$1))</f>
        <v>20</v>
      </c>
      <c r="X377" s="2">
        <f>IF(SUMIFS(StandardName[RankValueInTheRanking],StandardName[StandardizedName],THE_Webometrics[[#This Row],[Nazwa uczelni]],StandardName[Ranking],$X$1)=0,$N$3,SUMIFS(StandardName[RankValueInTheRanking],StandardName[StandardizedName],THE_Webometrics[[#This Row],[Nazwa uczelni]],StandardName[Ranking],$X$1))</f>
        <v>8</v>
      </c>
      <c r="Y377" s="2">
        <f>SUM(THE_Webometrics[[#This Row],[THE_RV1000]:[Webometrics_RV1000]])</f>
        <v>60</v>
      </c>
      <c r="Z377" s="1">
        <v>20</v>
      </c>
      <c r="AA377" s="1">
        <v>12</v>
      </c>
      <c r="AB377" s="1">
        <v>20</v>
      </c>
      <c r="AC377" s="1">
        <v>8</v>
      </c>
    </row>
    <row r="378" spans="9:29" outlineLevel="1" x14ac:dyDescent="0.45">
      <c r="I378" t="s">
        <v>829</v>
      </c>
      <c r="J378">
        <v>76</v>
      </c>
      <c r="K378" t="s">
        <v>829</v>
      </c>
      <c r="L378">
        <v>76</v>
      </c>
      <c r="M378" t="s">
        <v>850</v>
      </c>
      <c r="O378" s="2" t="s">
        <v>501</v>
      </c>
      <c r="P378" s="2">
        <v>1</v>
      </c>
      <c r="Q378" s="2">
        <v>1</v>
      </c>
      <c r="R378" s="2">
        <v>1</v>
      </c>
      <c r="S378" s="2">
        <v>1</v>
      </c>
      <c r="T378" s="2">
        <v>4</v>
      </c>
      <c r="U378" s="2">
        <f>IF(SUMIFS(StandardName[RankValueInTheRanking],StandardName[StandardizedName],THE_Webometrics[[#This Row],[Nazwa uczelni]],StandardName[Ranking],$U$1)=0,$N$3,SUMIFS(StandardName[RankValueInTheRanking],StandardName[StandardizedName],THE_Webometrics[[#This Row],[Nazwa uczelni]],StandardName[Ranking],$U$1))</f>
        <v>13</v>
      </c>
      <c r="V378" s="2">
        <f>IF(SUMIFS(StandardName[RankValueInTheRanking],StandardName[StandardizedName],THE_Webometrics[[#This Row],[Nazwa uczelni]],StandardName[Ranking],$V$1)=0,$N$3,SUMIFS(StandardName[RankValueInTheRanking],StandardName[StandardizedName],THE_Webometrics[[#This Row],[Nazwa uczelni]],StandardName[Ranking],$V$1))</f>
        <v>10</v>
      </c>
      <c r="W378" s="2">
        <f>IF(SUMIFS(StandardName[RankValueInTheRanking],StandardName[StandardizedName],THE_Webometrics[[#This Row],[Nazwa uczelni]],StandardName[Ranking],$W$1)=0,$N$3,SUMIFS(StandardName[RankValueInTheRanking],StandardName[StandardizedName],THE_Webometrics[[#This Row],[Nazwa uczelni]],StandardName[Ranking],$W$1))</f>
        <v>10</v>
      </c>
      <c r="X378" s="2">
        <f>IF(SUMIFS(StandardName[RankValueInTheRanking],StandardName[StandardizedName],THE_Webometrics[[#This Row],[Nazwa uczelni]],StandardName[Ranking],$X$1)=0,$N$3,SUMIFS(StandardName[RankValueInTheRanking],StandardName[StandardizedName],THE_Webometrics[[#This Row],[Nazwa uczelni]],StandardName[Ranking],$X$1))</f>
        <v>29</v>
      </c>
      <c r="Y378" s="2">
        <f>SUM(THE_Webometrics[[#This Row],[THE_RV1000]:[Webometrics_RV1000]])</f>
        <v>62</v>
      </c>
      <c r="Z378" s="2">
        <v>13</v>
      </c>
      <c r="AA378" s="2">
        <v>10</v>
      </c>
      <c r="AB378" s="2">
        <v>10</v>
      </c>
      <c r="AC378" s="2">
        <v>29</v>
      </c>
    </row>
    <row r="379" spans="9:29" outlineLevel="1" x14ac:dyDescent="0.45">
      <c r="I379" t="s">
        <v>830</v>
      </c>
      <c r="J379">
        <v>77</v>
      </c>
      <c r="K379" t="s">
        <v>830</v>
      </c>
      <c r="L379">
        <v>77</v>
      </c>
      <c r="M379" t="s">
        <v>850</v>
      </c>
      <c r="O379" s="1" t="s">
        <v>83</v>
      </c>
      <c r="P379" s="1">
        <v>1</v>
      </c>
      <c r="Q379" s="1">
        <v>1</v>
      </c>
      <c r="R379" s="1">
        <v>1</v>
      </c>
      <c r="S379" s="1">
        <v>1</v>
      </c>
      <c r="T379" s="1">
        <v>4</v>
      </c>
      <c r="U379" s="2">
        <f>IF(SUMIFS(StandardName[RankValueInTheRanking],StandardName[StandardizedName],THE_Webometrics[[#This Row],[Nazwa uczelni]],StandardName[Ranking],$U$1)=0,$N$3,SUMIFS(StandardName[RankValueInTheRanking],StandardName[StandardizedName],THE_Webometrics[[#This Row],[Nazwa uczelni]],StandardName[Ranking],$U$1))</f>
        <v>15</v>
      </c>
      <c r="V379" s="2">
        <f>IF(SUMIFS(StandardName[RankValueInTheRanking],StandardName[StandardizedName],THE_Webometrics[[#This Row],[Nazwa uczelni]],StandardName[Ranking],$V$1)=0,$N$3,SUMIFS(StandardName[RankValueInTheRanking],StandardName[StandardizedName],THE_Webometrics[[#This Row],[Nazwa uczelni]],StandardName[Ranking],$V$1))</f>
        <v>14</v>
      </c>
      <c r="W379" s="2">
        <f>IF(SUMIFS(StandardName[RankValueInTheRanking],StandardName[StandardizedName],THE_Webometrics[[#This Row],[Nazwa uczelni]],StandardName[Ranking],$W$1)=0,$N$3,SUMIFS(StandardName[RankValueInTheRanking],StandardName[StandardizedName],THE_Webometrics[[#This Row],[Nazwa uczelni]],StandardName[Ranking],$W$1))</f>
        <v>24</v>
      </c>
      <c r="X379" s="2">
        <f>IF(SUMIFS(StandardName[RankValueInTheRanking],StandardName[StandardizedName],THE_Webometrics[[#This Row],[Nazwa uczelni]],StandardName[Ranking],$X$1)=0,$N$3,SUMIFS(StandardName[RankValueInTheRanking],StandardName[StandardizedName],THE_Webometrics[[#This Row],[Nazwa uczelni]],StandardName[Ranking],$X$1))</f>
        <v>10</v>
      </c>
      <c r="Y379" s="2">
        <f>SUM(THE_Webometrics[[#This Row],[THE_RV1000]:[Webometrics_RV1000]])</f>
        <v>63</v>
      </c>
      <c r="Z379" s="1">
        <v>15</v>
      </c>
      <c r="AA379" s="1">
        <v>14</v>
      </c>
      <c r="AB379" s="1">
        <v>24</v>
      </c>
      <c r="AC379" s="1">
        <v>10</v>
      </c>
    </row>
    <row r="380" spans="9:29" outlineLevel="1" x14ac:dyDescent="0.45">
      <c r="I380" t="s">
        <v>831</v>
      </c>
      <c r="J380">
        <v>78</v>
      </c>
      <c r="K380" t="s">
        <v>831</v>
      </c>
      <c r="L380">
        <v>78</v>
      </c>
      <c r="M380" t="s">
        <v>850</v>
      </c>
      <c r="O380" s="2" t="s">
        <v>796</v>
      </c>
      <c r="P380" s="2">
        <v>1</v>
      </c>
      <c r="Q380" s="2">
        <v>1</v>
      </c>
      <c r="R380" s="2">
        <v>1</v>
      </c>
      <c r="S380" s="2">
        <v>1</v>
      </c>
      <c r="T380" s="2">
        <v>4</v>
      </c>
      <c r="U380" s="2">
        <f>IF(SUMIFS(StandardName[RankValueInTheRanking],StandardName[StandardizedName],THE_Webometrics[[#This Row],[Nazwa uczelni]],StandardName[Ranking],$U$1)=0,$N$3,SUMIFS(StandardName[RankValueInTheRanking],StandardName[StandardizedName],THE_Webometrics[[#This Row],[Nazwa uczelni]],StandardName[Ranking],$U$1))</f>
        <v>22</v>
      </c>
      <c r="V380" s="2">
        <f>IF(SUMIFS(StandardName[RankValueInTheRanking],StandardName[StandardizedName],THE_Webometrics[[#This Row],[Nazwa uczelni]],StandardName[Ranking],$V$1)=0,$N$3,SUMIFS(StandardName[RankValueInTheRanking],StandardName[StandardizedName],THE_Webometrics[[#This Row],[Nazwa uczelni]],StandardName[Ranking],$V$1))</f>
        <v>18</v>
      </c>
      <c r="W380" s="2">
        <f>IF(SUMIFS(StandardName[RankValueInTheRanking],StandardName[StandardizedName],THE_Webometrics[[#This Row],[Nazwa uczelni]],StandardName[Ranking],$W$1)=0,$N$3,SUMIFS(StandardName[RankValueInTheRanking],StandardName[StandardizedName],THE_Webometrics[[#This Row],[Nazwa uczelni]],StandardName[Ranking],$W$1))</f>
        <v>8</v>
      </c>
      <c r="X380" s="2">
        <f>IF(SUMIFS(StandardName[RankValueInTheRanking],StandardName[StandardizedName],THE_Webometrics[[#This Row],[Nazwa uczelni]],StandardName[Ranking],$X$1)=0,$N$3,SUMIFS(StandardName[RankValueInTheRanking],StandardName[StandardizedName],THE_Webometrics[[#This Row],[Nazwa uczelni]],StandardName[Ranking],$X$1))</f>
        <v>15</v>
      </c>
      <c r="Y380" s="2">
        <f>SUM(THE_Webometrics[[#This Row],[THE_RV1000]:[Webometrics_RV1000]])</f>
        <v>63</v>
      </c>
      <c r="Z380" s="2">
        <v>22</v>
      </c>
      <c r="AA380" s="2">
        <v>18</v>
      </c>
      <c r="AB380" s="2">
        <v>8</v>
      </c>
      <c r="AC380" s="2">
        <v>15</v>
      </c>
    </row>
    <row r="381" spans="9:29" outlineLevel="1" x14ac:dyDescent="0.45">
      <c r="I381" t="s">
        <v>337</v>
      </c>
      <c r="J381">
        <v>79</v>
      </c>
      <c r="K381" t="s">
        <v>337</v>
      </c>
      <c r="L381">
        <v>79</v>
      </c>
      <c r="M381" t="s">
        <v>850</v>
      </c>
      <c r="O381" s="1" t="s">
        <v>67</v>
      </c>
      <c r="P381" s="1">
        <v>1</v>
      </c>
      <c r="Q381" s="1">
        <v>1</v>
      </c>
      <c r="R381" s="1">
        <v>1</v>
      </c>
      <c r="S381" s="1">
        <v>1</v>
      </c>
      <c r="T381" s="1">
        <v>4</v>
      </c>
      <c r="U381" s="2">
        <f>IF(SUMIFS(StandardName[RankValueInTheRanking],StandardName[StandardizedName],THE_Webometrics[[#This Row],[Nazwa uczelni]],StandardName[Ranking],$U$1)=0,$N$3,SUMIFS(StandardName[RankValueInTheRanking],StandardName[StandardizedName],THE_Webometrics[[#This Row],[Nazwa uczelni]],StandardName[Ranking],$U$1))</f>
        <v>11</v>
      </c>
      <c r="V381" s="2">
        <f>IF(SUMIFS(StandardName[RankValueInTheRanking],StandardName[StandardizedName],THE_Webometrics[[#This Row],[Nazwa uczelni]],StandardName[Ranking],$V$1)=0,$N$3,SUMIFS(StandardName[RankValueInTheRanking],StandardName[StandardizedName],THE_Webometrics[[#This Row],[Nazwa uczelni]],StandardName[Ranking],$V$1))</f>
        <v>20</v>
      </c>
      <c r="W381" s="2">
        <f>IF(SUMIFS(StandardName[RankValueInTheRanking],StandardName[StandardizedName],THE_Webometrics[[#This Row],[Nazwa uczelni]],StandardName[Ranking],$W$1)=0,$N$3,SUMIFS(StandardName[RankValueInTheRanking],StandardName[StandardizedName],THE_Webometrics[[#This Row],[Nazwa uczelni]],StandardName[Ranking],$W$1))</f>
        <v>9</v>
      </c>
      <c r="X381" s="2">
        <f>IF(SUMIFS(StandardName[RankValueInTheRanking],StandardName[StandardizedName],THE_Webometrics[[#This Row],[Nazwa uczelni]],StandardName[Ranking],$X$1)=0,$N$3,SUMIFS(StandardName[RankValueInTheRanking],StandardName[StandardizedName],THE_Webometrics[[#This Row],[Nazwa uczelni]],StandardName[Ranking],$X$1))</f>
        <v>30</v>
      </c>
      <c r="Y381" s="2">
        <f>SUM(THE_Webometrics[[#This Row],[THE_RV1000]:[Webometrics_RV1000]])</f>
        <v>70</v>
      </c>
      <c r="Z381" s="1">
        <v>11</v>
      </c>
      <c r="AA381" s="1">
        <v>20</v>
      </c>
      <c r="AB381" s="1">
        <v>9</v>
      </c>
      <c r="AC381" s="1">
        <v>30</v>
      </c>
    </row>
    <row r="382" spans="9:29" outlineLevel="1" x14ac:dyDescent="0.45">
      <c r="I382" t="s">
        <v>332</v>
      </c>
      <c r="J382">
        <v>80</v>
      </c>
      <c r="K382" t="s">
        <v>332</v>
      </c>
      <c r="L382">
        <v>80</v>
      </c>
      <c r="M382" t="s">
        <v>850</v>
      </c>
      <c r="O382" s="2" t="s">
        <v>54</v>
      </c>
      <c r="P382" s="2">
        <v>1</v>
      </c>
      <c r="Q382" s="2">
        <v>1</v>
      </c>
      <c r="R382" s="2">
        <v>1</v>
      </c>
      <c r="S382" s="2">
        <v>1</v>
      </c>
      <c r="T382" s="2">
        <v>4</v>
      </c>
      <c r="U382" s="2">
        <f>IF(SUMIFS(StandardName[RankValueInTheRanking],StandardName[StandardizedName],THE_Webometrics[[#This Row],[Nazwa uczelni]],StandardName[Ranking],$U$1)=0,$N$3,SUMIFS(StandardName[RankValueInTheRanking],StandardName[StandardizedName],THE_Webometrics[[#This Row],[Nazwa uczelni]],StandardName[Ranking],$U$1))</f>
        <v>10</v>
      </c>
      <c r="V382" s="2">
        <f>IF(SUMIFS(StandardName[RankValueInTheRanking],StandardName[StandardizedName],THE_Webometrics[[#This Row],[Nazwa uczelni]],StandardName[Ranking],$V$1)=0,$N$3,SUMIFS(StandardName[RankValueInTheRanking],StandardName[StandardizedName],THE_Webometrics[[#This Row],[Nazwa uczelni]],StandardName[Ranking],$V$1))</f>
        <v>23</v>
      </c>
      <c r="W382" s="2">
        <f>IF(SUMIFS(StandardName[RankValueInTheRanking],StandardName[StandardizedName],THE_Webometrics[[#This Row],[Nazwa uczelni]],StandardName[Ranking],$W$1)=0,$N$3,SUMIFS(StandardName[RankValueInTheRanking],StandardName[StandardizedName],THE_Webometrics[[#This Row],[Nazwa uczelni]],StandardName[Ranking],$W$1))</f>
        <v>6</v>
      </c>
      <c r="X382" s="2">
        <f>IF(SUMIFS(StandardName[RankValueInTheRanking],StandardName[StandardizedName],THE_Webometrics[[#This Row],[Nazwa uczelni]],StandardName[Ranking],$X$1)=0,$N$3,SUMIFS(StandardName[RankValueInTheRanking],StandardName[StandardizedName],THE_Webometrics[[#This Row],[Nazwa uczelni]],StandardName[Ranking],$X$1))</f>
        <v>35</v>
      </c>
      <c r="Y382" s="2">
        <f>SUM(THE_Webometrics[[#This Row],[THE_RV1000]:[Webometrics_RV1000]])</f>
        <v>74</v>
      </c>
      <c r="Z382" s="2">
        <v>10</v>
      </c>
      <c r="AA382" s="2">
        <v>23</v>
      </c>
      <c r="AB382" s="2">
        <v>6</v>
      </c>
      <c r="AC382" s="2">
        <v>35</v>
      </c>
    </row>
    <row r="383" spans="9:29" outlineLevel="1" x14ac:dyDescent="0.45">
      <c r="I383" t="s">
        <v>250</v>
      </c>
      <c r="J383">
        <v>81</v>
      </c>
      <c r="K383" t="s">
        <v>250</v>
      </c>
      <c r="L383">
        <v>81</v>
      </c>
      <c r="M383" t="s">
        <v>850</v>
      </c>
      <c r="O383" s="1" t="s">
        <v>31</v>
      </c>
      <c r="P383" s="1">
        <v>1</v>
      </c>
      <c r="Q383" s="1">
        <v>1</v>
      </c>
      <c r="R383" s="1">
        <v>1</v>
      </c>
      <c r="S383" s="1">
        <v>1</v>
      </c>
      <c r="T383" s="1">
        <v>4</v>
      </c>
      <c r="U383" s="2">
        <f>IF(SUMIFS(StandardName[RankValueInTheRanking],StandardName[StandardizedName],THE_Webometrics[[#This Row],[Nazwa uczelni]],StandardName[Ranking],$U$1)=0,$N$3,SUMIFS(StandardName[RankValueInTheRanking],StandardName[StandardizedName],THE_Webometrics[[#This Row],[Nazwa uczelni]],StandardName[Ranking],$U$1))</f>
        <v>6</v>
      </c>
      <c r="V383" s="2">
        <f>IF(SUMIFS(StandardName[RankValueInTheRanking],StandardName[StandardizedName],THE_Webometrics[[#This Row],[Nazwa uczelni]],StandardName[Ranking],$V$1)=0,$N$3,SUMIFS(StandardName[RankValueInTheRanking],StandardName[StandardizedName],THE_Webometrics[[#This Row],[Nazwa uczelni]],StandardName[Ranking],$V$1))</f>
        <v>9</v>
      </c>
      <c r="W383" s="2">
        <f>IF(SUMIFS(StandardName[RankValueInTheRanking],StandardName[StandardizedName],THE_Webometrics[[#This Row],[Nazwa uczelni]],StandardName[Ranking],$W$1)=0,$N$3,SUMIFS(StandardName[RankValueInTheRanking],StandardName[StandardizedName],THE_Webometrics[[#This Row],[Nazwa uczelni]],StandardName[Ranking],$W$1))</f>
        <v>6</v>
      </c>
      <c r="X383" s="2">
        <f>IF(SUMIFS(StandardName[RankValueInTheRanking],StandardName[StandardizedName],THE_Webometrics[[#This Row],[Nazwa uczelni]],StandardName[Ranking],$X$1)=0,$N$3,SUMIFS(StandardName[RankValueInTheRanking],StandardName[StandardizedName],THE_Webometrics[[#This Row],[Nazwa uczelni]],StandardName[Ranking],$X$1))</f>
        <v>59</v>
      </c>
      <c r="Y383" s="2">
        <f>SUM(THE_Webometrics[[#This Row],[THE_RV1000]:[Webometrics_RV1000]])</f>
        <v>80</v>
      </c>
      <c r="Z383" s="1">
        <v>6</v>
      </c>
      <c r="AA383" s="1">
        <v>9</v>
      </c>
      <c r="AB383" s="1">
        <v>6</v>
      </c>
      <c r="AC383" s="1">
        <v>59</v>
      </c>
    </row>
    <row r="384" spans="9:29" outlineLevel="1" x14ac:dyDescent="0.45">
      <c r="I384" t="s">
        <v>832</v>
      </c>
      <c r="J384">
        <v>82</v>
      </c>
      <c r="K384" t="s">
        <v>832</v>
      </c>
      <c r="L384">
        <v>82</v>
      </c>
      <c r="M384" t="s">
        <v>850</v>
      </c>
      <c r="O384" s="2" t="s">
        <v>89</v>
      </c>
      <c r="P384" s="2">
        <v>1</v>
      </c>
      <c r="Q384" s="2">
        <v>1</v>
      </c>
      <c r="R384" s="2">
        <v>1</v>
      </c>
      <c r="S384" s="2">
        <v>1</v>
      </c>
      <c r="T384" s="2">
        <v>4</v>
      </c>
      <c r="U384" s="2">
        <f>IF(SUMIFS(StandardName[RankValueInTheRanking],StandardName[StandardizedName],THE_Webometrics[[#This Row],[Nazwa uczelni]],StandardName[Ranking],$U$1)=0,$N$3,SUMIFS(StandardName[RankValueInTheRanking],StandardName[StandardizedName],THE_Webometrics[[#This Row],[Nazwa uczelni]],StandardName[Ranking],$U$1))</f>
        <v>16</v>
      </c>
      <c r="V384" s="2">
        <f>IF(SUMIFS(StandardName[RankValueInTheRanking],StandardName[StandardizedName],THE_Webometrics[[#This Row],[Nazwa uczelni]],StandardName[Ranking],$V$1)=0,$N$3,SUMIFS(StandardName[RankValueInTheRanking],StandardName[StandardizedName],THE_Webometrics[[#This Row],[Nazwa uczelni]],StandardName[Ranking],$V$1))</f>
        <v>26</v>
      </c>
      <c r="W384" s="2">
        <f>IF(SUMIFS(StandardName[RankValueInTheRanking],StandardName[StandardizedName],THE_Webometrics[[#This Row],[Nazwa uczelni]],StandardName[Ranking],$W$1)=0,$N$3,SUMIFS(StandardName[RankValueInTheRanking],StandardName[StandardizedName],THE_Webometrics[[#This Row],[Nazwa uczelni]],StandardName[Ranking],$W$1))</f>
        <v>14</v>
      </c>
      <c r="X384" s="2">
        <f>IF(SUMIFS(StandardName[RankValueInTheRanking],StandardName[StandardizedName],THE_Webometrics[[#This Row],[Nazwa uczelni]],StandardName[Ranking],$X$1)=0,$N$3,SUMIFS(StandardName[RankValueInTheRanking],StandardName[StandardizedName],THE_Webometrics[[#This Row],[Nazwa uczelni]],StandardName[Ranking],$X$1))</f>
        <v>24</v>
      </c>
      <c r="Y384" s="2">
        <f>SUM(THE_Webometrics[[#This Row],[THE_RV1000]:[Webometrics_RV1000]])</f>
        <v>80</v>
      </c>
      <c r="Z384" s="2">
        <v>16</v>
      </c>
      <c r="AA384" s="2">
        <v>26</v>
      </c>
      <c r="AB384" s="2">
        <v>14</v>
      </c>
      <c r="AC384" s="2">
        <v>24</v>
      </c>
    </row>
    <row r="385" spans="9:29" outlineLevel="1" x14ac:dyDescent="0.45">
      <c r="I385" t="s">
        <v>833</v>
      </c>
      <c r="J385">
        <v>83</v>
      </c>
      <c r="K385" t="s">
        <v>833</v>
      </c>
      <c r="L385">
        <v>83</v>
      </c>
      <c r="M385" t="s">
        <v>850</v>
      </c>
      <c r="O385" s="1" t="s">
        <v>133</v>
      </c>
      <c r="P385" s="1">
        <v>1</v>
      </c>
      <c r="Q385" s="1">
        <v>1</v>
      </c>
      <c r="R385" s="1">
        <v>1</v>
      </c>
      <c r="S385" s="1">
        <v>1</v>
      </c>
      <c r="T385" s="1">
        <v>4</v>
      </c>
      <c r="U385" s="2">
        <f>IF(SUMIFS(StandardName[RankValueInTheRanking],StandardName[StandardizedName],THE_Webometrics[[#This Row],[Nazwa uczelni]],StandardName[Ranking],$U$1)=0,$N$3,SUMIFS(StandardName[RankValueInTheRanking],StandardName[StandardizedName],THE_Webometrics[[#This Row],[Nazwa uczelni]],StandardName[Ranking],$U$1))</f>
        <v>23</v>
      </c>
      <c r="V385" s="2">
        <f>IF(SUMIFS(StandardName[RankValueInTheRanking],StandardName[StandardizedName],THE_Webometrics[[#This Row],[Nazwa uczelni]],StandardName[Ranking],$V$1)=0,$N$3,SUMIFS(StandardName[RankValueInTheRanking],StandardName[StandardizedName],THE_Webometrics[[#This Row],[Nazwa uczelni]],StandardName[Ranking],$V$1))</f>
        <v>28</v>
      </c>
      <c r="W385" s="2">
        <f>IF(SUMIFS(StandardName[RankValueInTheRanking],StandardName[StandardizedName],THE_Webometrics[[#This Row],[Nazwa uczelni]],StandardName[Ranking],$W$1)=0,$N$3,SUMIFS(StandardName[RankValueInTheRanking],StandardName[StandardizedName],THE_Webometrics[[#This Row],[Nazwa uczelni]],StandardName[Ranking],$W$1))</f>
        <v>25</v>
      </c>
      <c r="X385" s="2">
        <f>IF(SUMIFS(StandardName[RankValueInTheRanking],StandardName[StandardizedName],THE_Webometrics[[#This Row],[Nazwa uczelni]],StandardName[Ranking],$X$1)=0,$N$3,SUMIFS(StandardName[RankValueInTheRanking],StandardName[StandardizedName],THE_Webometrics[[#This Row],[Nazwa uczelni]],StandardName[Ranking],$X$1))</f>
        <v>6</v>
      </c>
      <c r="Y385" s="2">
        <f>SUM(THE_Webometrics[[#This Row],[THE_RV1000]:[Webometrics_RV1000]])</f>
        <v>82</v>
      </c>
      <c r="Z385" s="1">
        <v>23</v>
      </c>
      <c r="AA385" s="1">
        <v>28</v>
      </c>
      <c r="AB385" s="1">
        <v>25</v>
      </c>
      <c r="AC385" s="1">
        <v>6</v>
      </c>
    </row>
    <row r="386" spans="9:29" outlineLevel="1" x14ac:dyDescent="0.45">
      <c r="I386" t="s">
        <v>834</v>
      </c>
      <c r="J386">
        <v>84</v>
      </c>
      <c r="K386" t="s">
        <v>388</v>
      </c>
      <c r="L386">
        <v>84</v>
      </c>
      <c r="M386" t="s">
        <v>850</v>
      </c>
      <c r="O386" s="2" t="s">
        <v>102</v>
      </c>
      <c r="P386" s="2">
        <v>1</v>
      </c>
      <c r="Q386" s="2">
        <v>1</v>
      </c>
      <c r="R386" s="2">
        <v>1</v>
      </c>
      <c r="S386" s="2">
        <v>1</v>
      </c>
      <c r="T386" s="2">
        <v>4</v>
      </c>
      <c r="U386" s="2">
        <f>IF(SUMIFS(StandardName[RankValueInTheRanking],StandardName[StandardizedName],THE_Webometrics[[#This Row],[Nazwa uczelni]],StandardName[Ranking],$U$1)=0,$N$3,SUMIFS(StandardName[RankValueInTheRanking],StandardName[StandardizedName],THE_Webometrics[[#This Row],[Nazwa uczelni]],StandardName[Ranking],$U$1))</f>
        <v>18</v>
      </c>
      <c r="V386" s="2">
        <f>IF(SUMIFS(StandardName[RankValueInTheRanking],StandardName[StandardizedName],THE_Webometrics[[#This Row],[Nazwa uczelni]],StandardName[Ranking],$V$1)=0,$N$3,SUMIFS(StandardName[RankValueInTheRanking],StandardName[StandardizedName],THE_Webometrics[[#This Row],[Nazwa uczelni]],StandardName[Ranking],$V$1))</f>
        <v>22</v>
      </c>
      <c r="W386" s="2">
        <f>IF(SUMIFS(StandardName[RankValueInTheRanking],StandardName[StandardizedName],THE_Webometrics[[#This Row],[Nazwa uczelni]],StandardName[Ranking],$W$1)=0,$N$3,SUMIFS(StandardName[RankValueInTheRanking],StandardName[StandardizedName],THE_Webometrics[[#This Row],[Nazwa uczelni]],StandardName[Ranking],$W$1))</f>
        <v>34</v>
      </c>
      <c r="X386" s="2">
        <f>IF(SUMIFS(StandardName[RankValueInTheRanking],StandardName[StandardizedName],THE_Webometrics[[#This Row],[Nazwa uczelni]],StandardName[Ranking],$X$1)=0,$N$3,SUMIFS(StandardName[RankValueInTheRanking],StandardName[StandardizedName],THE_Webometrics[[#This Row],[Nazwa uczelni]],StandardName[Ranking],$X$1))</f>
        <v>16</v>
      </c>
      <c r="Y386" s="2">
        <f>SUM(THE_Webometrics[[#This Row],[THE_RV1000]:[Webometrics_RV1000]])</f>
        <v>90</v>
      </c>
      <c r="Z386" s="2">
        <v>18</v>
      </c>
      <c r="AA386" s="2">
        <v>22</v>
      </c>
      <c r="AB386" s="2">
        <v>34</v>
      </c>
      <c r="AC386" s="2">
        <v>16</v>
      </c>
    </row>
    <row r="387" spans="9:29" outlineLevel="1" x14ac:dyDescent="0.45">
      <c r="I387" t="s">
        <v>835</v>
      </c>
      <c r="J387">
        <v>85</v>
      </c>
      <c r="K387" t="s">
        <v>835</v>
      </c>
      <c r="L387">
        <v>85</v>
      </c>
      <c r="M387" t="s">
        <v>850</v>
      </c>
      <c r="O387" s="1" t="s">
        <v>795</v>
      </c>
      <c r="P387" s="1">
        <v>1</v>
      </c>
      <c r="Q387" s="1">
        <v>1</v>
      </c>
      <c r="R387" s="1">
        <v>1</v>
      </c>
      <c r="S387" s="1">
        <v>1</v>
      </c>
      <c r="T387" s="1">
        <v>4</v>
      </c>
      <c r="U387" s="2">
        <f>IF(SUMIFS(StandardName[RankValueInTheRanking],StandardName[StandardizedName],THE_Webometrics[[#This Row],[Nazwa uczelni]],StandardName[Ranking],$U$1)=0,$N$3,SUMIFS(StandardName[RankValueInTheRanking],StandardName[StandardizedName],THE_Webometrics[[#This Row],[Nazwa uczelni]],StandardName[Ranking],$U$1))</f>
        <v>21</v>
      </c>
      <c r="V387" s="2">
        <f>IF(SUMIFS(StandardName[RankValueInTheRanking],StandardName[StandardizedName],THE_Webometrics[[#This Row],[Nazwa uczelni]],StandardName[Ranking],$V$1)=0,$N$3,SUMIFS(StandardName[RankValueInTheRanking],StandardName[StandardizedName],THE_Webometrics[[#This Row],[Nazwa uczelni]],StandardName[Ranking],$V$1))</f>
        <v>13</v>
      </c>
      <c r="W387" s="2">
        <f>IF(SUMIFS(StandardName[RankValueInTheRanking],StandardName[StandardizedName],THE_Webometrics[[#This Row],[Nazwa uczelni]],StandardName[Ranking],$W$1)=0,$N$3,SUMIFS(StandardName[RankValueInTheRanking],StandardName[StandardizedName],THE_Webometrics[[#This Row],[Nazwa uczelni]],StandardName[Ranking],$W$1))</f>
        <v>44</v>
      </c>
      <c r="X387" s="2">
        <f>IF(SUMIFS(StandardName[RankValueInTheRanking],StandardName[StandardizedName],THE_Webometrics[[#This Row],[Nazwa uczelni]],StandardName[Ranking],$X$1)=0,$N$3,SUMIFS(StandardName[RankValueInTheRanking],StandardName[StandardizedName],THE_Webometrics[[#This Row],[Nazwa uczelni]],StandardName[Ranking],$X$1))</f>
        <v>13</v>
      </c>
      <c r="Y387" s="2">
        <f>SUM(THE_Webometrics[[#This Row],[THE_RV1000]:[Webometrics_RV1000]])</f>
        <v>91</v>
      </c>
      <c r="Z387" s="1">
        <v>21</v>
      </c>
      <c r="AA387" s="1">
        <v>13</v>
      </c>
      <c r="AB387" s="1">
        <v>44</v>
      </c>
      <c r="AC387" s="1">
        <v>13</v>
      </c>
    </row>
    <row r="388" spans="9:29" outlineLevel="1" x14ac:dyDescent="0.45">
      <c r="I388" t="s">
        <v>836</v>
      </c>
      <c r="J388">
        <v>86</v>
      </c>
      <c r="K388" t="s">
        <v>836</v>
      </c>
      <c r="L388">
        <v>86</v>
      </c>
      <c r="M388" t="s">
        <v>850</v>
      </c>
      <c r="O388" s="2" t="s">
        <v>97</v>
      </c>
      <c r="P388" s="2">
        <v>1</v>
      </c>
      <c r="Q388" s="2">
        <v>1</v>
      </c>
      <c r="R388" s="2">
        <v>1</v>
      </c>
      <c r="S388" s="2">
        <v>1</v>
      </c>
      <c r="T388" s="2">
        <v>4</v>
      </c>
      <c r="U388" s="2">
        <f>IF(SUMIFS(StandardName[RankValueInTheRanking],StandardName[StandardizedName],THE_Webometrics[[#This Row],[Nazwa uczelni]],StandardName[Ranking],$U$1)=0,$N$3,SUMIFS(StandardName[RankValueInTheRanking],StandardName[StandardizedName],THE_Webometrics[[#This Row],[Nazwa uczelni]],StandardName[Ranking],$U$1))</f>
        <v>17</v>
      </c>
      <c r="V388" s="2">
        <f>IF(SUMIFS(StandardName[RankValueInTheRanking],StandardName[StandardizedName],THE_Webometrics[[#This Row],[Nazwa uczelni]],StandardName[Ranking],$V$1)=0,$N$3,SUMIFS(StandardName[RankValueInTheRanking],StandardName[StandardizedName],THE_Webometrics[[#This Row],[Nazwa uczelni]],StandardName[Ranking],$V$1))</f>
        <v>34</v>
      </c>
      <c r="W388" s="2">
        <f>IF(SUMIFS(StandardName[RankValueInTheRanking],StandardName[StandardizedName],THE_Webometrics[[#This Row],[Nazwa uczelni]],StandardName[Ranking],$W$1)=0,$N$3,SUMIFS(StandardName[RankValueInTheRanking],StandardName[StandardizedName],THE_Webometrics[[#This Row],[Nazwa uczelni]],StandardName[Ranking],$W$1))</f>
        <v>12</v>
      </c>
      <c r="X388" s="2">
        <f>IF(SUMIFS(StandardName[RankValueInTheRanking],StandardName[StandardizedName],THE_Webometrics[[#This Row],[Nazwa uczelni]],StandardName[Ranking],$X$1)=0,$N$3,SUMIFS(StandardName[RankValueInTheRanking],StandardName[StandardizedName],THE_Webometrics[[#This Row],[Nazwa uczelni]],StandardName[Ranking],$X$1))</f>
        <v>32</v>
      </c>
      <c r="Y388" s="2">
        <f>SUM(THE_Webometrics[[#This Row],[THE_RV1000]:[Webometrics_RV1000]])</f>
        <v>95</v>
      </c>
      <c r="Z388" s="2">
        <v>17</v>
      </c>
      <c r="AA388" s="2">
        <v>34</v>
      </c>
      <c r="AB388" s="2">
        <v>12</v>
      </c>
      <c r="AC388" s="2">
        <v>32</v>
      </c>
    </row>
    <row r="389" spans="9:29" outlineLevel="1" x14ac:dyDescent="0.45">
      <c r="I389" t="s">
        <v>614</v>
      </c>
      <c r="J389">
        <v>87</v>
      </c>
      <c r="K389" t="s">
        <v>614</v>
      </c>
      <c r="L389">
        <v>87</v>
      </c>
      <c r="M389" t="s">
        <v>850</v>
      </c>
      <c r="O389" s="1" t="s">
        <v>151</v>
      </c>
      <c r="P389" s="1">
        <v>1</v>
      </c>
      <c r="Q389" s="1">
        <v>1</v>
      </c>
      <c r="R389" s="1">
        <v>1</v>
      </c>
      <c r="S389" s="1">
        <v>1</v>
      </c>
      <c r="T389" s="1">
        <v>4</v>
      </c>
      <c r="U389" s="2">
        <f>IF(SUMIFS(StandardName[RankValueInTheRanking],StandardName[StandardizedName],THE_Webometrics[[#This Row],[Nazwa uczelni]],StandardName[Ranking],$U$1)=0,$N$3,SUMIFS(StandardName[RankValueInTheRanking],StandardName[StandardizedName],THE_Webometrics[[#This Row],[Nazwa uczelni]],StandardName[Ranking],$U$1))</f>
        <v>26</v>
      </c>
      <c r="V389" s="2">
        <f>IF(SUMIFS(StandardName[RankValueInTheRanking],StandardName[StandardizedName],THE_Webometrics[[#This Row],[Nazwa uczelni]],StandardName[Ranking],$V$1)=0,$N$3,SUMIFS(StandardName[RankValueInTheRanking],StandardName[StandardizedName],THE_Webometrics[[#This Row],[Nazwa uczelni]],StandardName[Ranking],$V$1))</f>
        <v>30</v>
      </c>
      <c r="W389" s="2">
        <f>IF(SUMIFS(StandardName[RankValueInTheRanking],StandardName[StandardizedName],THE_Webometrics[[#This Row],[Nazwa uczelni]],StandardName[Ranking],$W$1)=0,$N$3,SUMIFS(StandardName[RankValueInTheRanking],StandardName[StandardizedName],THE_Webometrics[[#This Row],[Nazwa uczelni]],StandardName[Ranking],$W$1))</f>
        <v>32</v>
      </c>
      <c r="X389" s="2">
        <f>IF(SUMIFS(StandardName[RankValueInTheRanking],StandardName[StandardizedName],THE_Webometrics[[#This Row],[Nazwa uczelni]],StandardName[Ranking],$X$1)=0,$N$3,SUMIFS(StandardName[RankValueInTheRanking],StandardName[StandardizedName],THE_Webometrics[[#This Row],[Nazwa uczelni]],StandardName[Ranking],$X$1))</f>
        <v>22</v>
      </c>
      <c r="Y389" s="2">
        <f>SUM(THE_Webometrics[[#This Row],[THE_RV1000]:[Webometrics_RV1000]])</f>
        <v>110</v>
      </c>
      <c r="Z389" s="1">
        <v>26</v>
      </c>
      <c r="AA389" s="1">
        <v>30</v>
      </c>
      <c r="AB389" s="1">
        <v>32</v>
      </c>
      <c r="AC389" s="1">
        <v>22</v>
      </c>
    </row>
    <row r="390" spans="9:29" outlineLevel="1" x14ac:dyDescent="0.45">
      <c r="I390" t="s">
        <v>749</v>
      </c>
      <c r="J390">
        <v>88</v>
      </c>
      <c r="K390" t="s">
        <v>749</v>
      </c>
      <c r="L390">
        <v>88</v>
      </c>
      <c r="M390" t="s">
        <v>850</v>
      </c>
      <c r="O390" s="2" t="s">
        <v>139</v>
      </c>
      <c r="P390" s="2">
        <v>1</v>
      </c>
      <c r="Q390" s="2">
        <v>1</v>
      </c>
      <c r="R390" s="2">
        <v>1</v>
      </c>
      <c r="S390" s="2">
        <v>1</v>
      </c>
      <c r="T390" s="2">
        <v>4</v>
      </c>
      <c r="U390" s="2">
        <f>IF(SUMIFS(StandardName[RankValueInTheRanking],StandardName[StandardizedName],THE_Webometrics[[#This Row],[Nazwa uczelni]],StandardName[Ranking],$U$1)=0,$N$3,SUMIFS(StandardName[RankValueInTheRanking],StandardName[StandardizedName],THE_Webometrics[[#This Row],[Nazwa uczelni]],StandardName[Ranking],$U$1))</f>
        <v>24</v>
      </c>
      <c r="V390" s="2">
        <f>IF(SUMIFS(StandardName[RankValueInTheRanking],StandardName[StandardizedName],THE_Webometrics[[#This Row],[Nazwa uczelni]],StandardName[Ranking],$V$1)=0,$N$3,SUMIFS(StandardName[RankValueInTheRanking],StandardName[StandardizedName],THE_Webometrics[[#This Row],[Nazwa uczelni]],StandardName[Ranking],$V$1))</f>
        <v>25</v>
      </c>
      <c r="W390" s="2">
        <f>IF(SUMIFS(StandardName[RankValueInTheRanking],StandardName[StandardizedName],THE_Webometrics[[#This Row],[Nazwa uczelni]],StandardName[Ranking],$W$1)=0,$N$3,SUMIFS(StandardName[RankValueInTheRanking],StandardName[StandardizedName],THE_Webometrics[[#This Row],[Nazwa uczelni]],StandardName[Ranking],$W$1))</f>
        <v>39</v>
      </c>
      <c r="X390" s="2">
        <f>IF(SUMIFS(StandardName[RankValueInTheRanking],StandardName[StandardizedName],THE_Webometrics[[#This Row],[Nazwa uczelni]],StandardName[Ranking],$X$1)=0,$N$3,SUMIFS(StandardName[RankValueInTheRanking],StandardName[StandardizedName],THE_Webometrics[[#This Row],[Nazwa uczelni]],StandardName[Ranking],$X$1))</f>
        <v>23</v>
      </c>
      <c r="Y390" s="2">
        <f>SUM(THE_Webometrics[[#This Row],[THE_RV1000]:[Webometrics_RV1000]])</f>
        <v>111</v>
      </c>
      <c r="Z390" s="2">
        <v>24</v>
      </c>
      <c r="AA390" s="2">
        <v>25</v>
      </c>
      <c r="AB390" s="2">
        <v>39</v>
      </c>
      <c r="AC390" s="2">
        <v>23</v>
      </c>
    </row>
    <row r="391" spans="9:29" outlineLevel="1" x14ac:dyDescent="0.45">
      <c r="I391" t="s">
        <v>474</v>
      </c>
      <c r="J391">
        <v>89</v>
      </c>
      <c r="K391" t="s">
        <v>474</v>
      </c>
      <c r="L391">
        <v>89</v>
      </c>
      <c r="M391" t="s">
        <v>850</v>
      </c>
      <c r="O391" s="1" t="s">
        <v>797</v>
      </c>
      <c r="P391" s="1">
        <v>1</v>
      </c>
      <c r="Q391" s="1">
        <v>1</v>
      </c>
      <c r="R391" s="1">
        <v>1</v>
      </c>
      <c r="S391" s="1">
        <v>1</v>
      </c>
      <c r="T391" s="1">
        <v>4</v>
      </c>
      <c r="U391" s="2">
        <f>IF(SUMIFS(StandardName[RankValueInTheRanking],StandardName[StandardizedName],THE_Webometrics[[#This Row],[Nazwa uczelni]],StandardName[Ranking],$U$1)=0,$N$3,SUMIFS(StandardName[RankValueInTheRanking],StandardName[StandardizedName],THE_Webometrics[[#This Row],[Nazwa uczelni]],StandardName[Ranking],$U$1))</f>
        <v>32</v>
      </c>
      <c r="V391" s="2">
        <f>IF(SUMIFS(StandardName[RankValueInTheRanking],StandardName[StandardizedName],THE_Webometrics[[#This Row],[Nazwa uczelni]],StandardName[Ranking],$V$1)=0,$N$3,SUMIFS(StandardName[RankValueInTheRanking],StandardName[StandardizedName],THE_Webometrics[[#This Row],[Nazwa uczelni]],StandardName[Ranking],$V$1))</f>
        <v>21</v>
      </c>
      <c r="W391" s="2">
        <f>IF(SUMIFS(StandardName[RankValueInTheRanking],StandardName[StandardizedName],THE_Webometrics[[#This Row],[Nazwa uczelni]],StandardName[Ranking],$W$1)=0,$N$3,SUMIFS(StandardName[RankValueInTheRanking],StandardName[StandardizedName],THE_Webometrics[[#This Row],[Nazwa uczelni]],StandardName[Ranking],$W$1))</f>
        <v>53</v>
      </c>
      <c r="X391" s="2">
        <f>IF(SUMIFS(StandardName[RankValueInTheRanking],StandardName[StandardizedName],THE_Webometrics[[#This Row],[Nazwa uczelni]],StandardName[Ranking],$X$1)=0,$N$3,SUMIFS(StandardName[RankValueInTheRanking],StandardName[StandardizedName],THE_Webometrics[[#This Row],[Nazwa uczelni]],StandardName[Ranking],$X$1))</f>
        <v>17</v>
      </c>
      <c r="Y391" s="2">
        <f>SUM(THE_Webometrics[[#This Row],[THE_RV1000]:[Webometrics_RV1000]])</f>
        <v>123</v>
      </c>
      <c r="Z391" s="1">
        <v>32</v>
      </c>
      <c r="AA391" s="1">
        <v>21</v>
      </c>
      <c r="AB391" s="1">
        <v>53</v>
      </c>
      <c r="AC391" s="1">
        <v>17</v>
      </c>
    </row>
    <row r="392" spans="9:29" outlineLevel="1" x14ac:dyDescent="0.45">
      <c r="I392" t="s">
        <v>230</v>
      </c>
      <c r="J392">
        <v>90</v>
      </c>
      <c r="K392" t="s">
        <v>230</v>
      </c>
      <c r="L392">
        <v>90</v>
      </c>
      <c r="M392" t="s">
        <v>850</v>
      </c>
      <c r="O392" s="2" t="s">
        <v>169</v>
      </c>
      <c r="P392" s="2">
        <v>1</v>
      </c>
      <c r="Q392" s="2">
        <v>1</v>
      </c>
      <c r="R392" s="2">
        <v>1</v>
      </c>
      <c r="S392" s="2">
        <v>1</v>
      </c>
      <c r="T392" s="2">
        <v>4</v>
      </c>
      <c r="U392" s="2">
        <f>IF(SUMIFS(StandardName[RankValueInTheRanking],StandardName[StandardizedName],THE_Webometrics[[#This Row],[Nazwa uczelni]],StandardName[Ranking],$U$1)=0,$N$3,SUMIFS(StandardName[RankValueInTheRanking],StandardName[StandardizedName],THE_Webometrics[[#This Row],[Nazwa uczelni]],StandardName[Ranking],$U$1))</f>
        <v>29</v>
      </c>
      <c r="V392" s="2">
        <f>IF(SUMIFS(StandardName[RankValueInTheRanking],StandardName[StandardizedName],THE_Webometrics[[#This Row],[Nazwa uczelni]],StandardName[Ranking],$V$1)=0,$N$3,SUMIFS(StandardName[RankValueInTheRanking],StandardName[StandardizedName],THE_Webometrics[[#This Row],[Nazwa uczelni]],StandardName[Ranking],$V$1))</f>
        <v>35</v>
      </c>
      <c r="W392" s="2">
        <f>IF(SUMIFS(StandardName[RankValueInTheRanking],StandardName[StandardizedName],THE_Webometrics[[#This Row],[Nazwa uczelni]],StandardName[Ranking],$W$1)=0,$N$3,SUMIFS(StandardName[RankValueInTheRanking],StandardName[StandardizedName],THE_Webometrics[[#This Row],[Nazwa uczelni]],StandardName[Ranking],$W$1))</f>
        <v>15</v>
      </c>
      <c r="X392" s="2">
        <f>IF(SUMIFS(StandardName[RankValueInTheRanking],StandardName[StandardizedName],THE_Webometrics[[#This Row],[Nazwa uczelni]],StandardName[Ranking],$X$1)=0,$N$3,SUMIFS(StandardName[RankValueInTheRanking],StandardName[StandardizedName],THE_Webometrics[[#This Row],[Nazwa uczelni]],StandardName[Ranking],$X$1))</f>
        <v>44</v>
      </c>
      <c r="Y392" s="2">
        <f>SUM(THE_Webometrics[[#This Row],[THE_RV1000]:[Webometrics_RV1000]])</f>
        <v>123</v>
      </c>
      <c r="Z392" s="2">
        <v>29</v>
      </c>
      <c r="AA392" s="2">
        <v>35</v>
      </c>
      <c r="AB392" s="2">
        <v>15</v>
      </c>
      <c r="AC392" s="2">
        <v>44</v>
      </c>
    </row>
    <row r="393" spans="9:29" outlineLevel="1" x14ac:dyDescent="0.45">
      <c r="I393" t="s">
        <v>837</v>
      </c>
      <c r="J393">
        <v>91</v>
      </c>
      <c r="K393" t="s">
        <v>837</v>
      </c>
      <c r="L393">
        <v>91</v>
      </c>
      <c r="M393" t="s">
        <v>850</v>
      </c>
      <c r="O393" s="1" t="s">
        <v>145</v>
      </c>
      <c r="P393" s="1">
        <v>1</v>
      </c>
      <c r="Q393" s="1">
        <v>1</v>
      </c>
      <c r="R393" s="1">
        <v>1</v>
      </c>
      <c r="S393" s="1">
        <v>1</v>
      </c>
      <c r="T393" s="1">
        <v>4</v>
      </c>
      <c r="U393" s="2">
        <f>IF(SUMIFS(StandardName[RankValueInTheRanking],StandardName[StandardizedName],THE_Webometrics[[#This Row],[Nazwa uczelni]],StandardName[Ranking],$U$1)=0,$N$3,SUMIFS(StandardName[RankValueInTheRanking],StandardName[StandardizedName],THE_Webometrics[[#This Row],[Nazwa uczelni]],StandardName[Ranking],$U$1))</f>
        <v>25</v>
      </c>
      <c r="V393" s="2">
        <f>IF(SUMIFS(StandardName[RankValueInTheRanking],StandardName[StandardizedName],THE_Webometrics[[#This Row],[Nazwa uczelni]],StandardName[Ranking],$V$1)=0,$N$3,SUMIFS(StandardName[RankValueInTheRanking],StandardName[StandardizedName],THE_Webometrics[[#This Row],[Nazwa uczelni]],StandardName[Ranking],$V$1))</f>
        <v>31</v>
      </c>
      <c r="W393" s="2">
        <f>IF(SUMIFS(StandardName[RankValueInTheRanking],StandardName[StandardizedName],THE_Webometrics[[#This Row],[Nazwa uczelni]],StandardName[Ranking],$W$1)=0,$N$3,SUMIFS(StandardName[RankValueInTheRanking],StandardName[StandardizedName],THE_Webometrics[[#This Row],[Nazwa uczelni]],StandardName[Ranking],$W$1))</f>
        <v>50</v>
      </c>
      <c r="X393" s="2">
        <f>IF(SUMIFS(StandardName[RankValueInTheRanking],StandardName[StandardizedName],THE_Webometrics[[#This Row],[Nazwa uczelni]],StandardName[Ranking],$X$1)=0,$N$3,SUMIFS(StandardName[RankValueInTheRanking],StandardName[StandardizedName],THE_Webometrics[[#This Row],[Nazwa uczelni]],StandardName[Ranking],$X$1))</f>
        <v>21</v>
      </c>
      <c r="Y393" s="2">
        <f>SUM(THE_Webometrics[[#This Row],[THE_RV1000]:[Webometrics_RV1000]])</f>
        <v>127</v>
      </c>
      <c r="Z393" s="1">
        <v>25</v>
      </c>
      <c r="AA393" s="1">
        <v>31</v>
      </c>
      <c r="AB393" s="1">
        <v>50</v>
      </c>
      <c r="AC393" s="1">
        <v>21</v>
      </c>
    </row>
    <row r="394" spans="9:29" outlineLevel="1" x14ac:dyDescent="0.45">
      <c r="I394" t="s">
        <v>838</v>
      </c>
      <c r="J394">
        <v>92</v>
      </c>
      <c r="K394" t="s">
        <v>425</v>
      </c>
      <c r="L394">
        <v>92</v>
      </c>
      <c r="M394" t="s">
        <v>850</v>
      </c>
      <c r="O394" s="2" t="s">
        <v>157</v>
      </c>
      <c r="P394" s="2">
        <v>1</v>
      </c>
      <c r="Q394" s="2">
        <v>1</v>
      </c>
      <c r="R394" s="2">
        <v>1</v>
      </c>
      <c r="S394" s="2">
        <v>1</v>
      </c>
      <c r="T394" s="2">
        <v>4</v>
      </c>
      <c r="U394" s="2">
        <f>IF(SUMIFS(StandardName[RankValueInTheRanking],StandardName[StandardizedName],THE_Webometrics[[#This Row],[Nazwa uczelni]],StandardName[Ranking],$U$1)=0,$N$3,SUMIFS(StandardName[RankValueInTheRanking],StandardName[StandardizedName],THE_Webometrics[[#This Row],[Nazwa uczelni]],StandardName[Ranking],$U$1))</f>
        <v>26</v>
      </c>
      <c r="V394" s="2">
        <f>IF(SUMIFS(StandardName[RankValueInTheRanking],StandardName[StandardizedName],THE_Webometrics[[#This Row],[Nazwa uczelni]],StandardName[Ranking],$V$1)=0,$N$3,SUMIFS(StandardName[RankValueInTheRanking],StandardName[StandardizedName],THE_Webometrics[[#This Row],[Nazwa uczelni]],StandardName[Ranking],$V$1))</f>
        <v>17</v>
      </c>
      <c r="W394" s="2">
        <f>IF(SUMIFS(StandardName[RankValueInTheRanking],StandardName[StandardizedName],THE_Webometrics[[#This Row],[Nazwa uczelni]],StandardName[Ranking],$W$1)=0,$N$3,SUMIFS(StandardName[RankValueInTheRanking],StandardName[StandardizedName],THE_Webometrics[[#This Row],[Nazwa uczelni]],StandardName[Ranking],$W$1))</f>
        <v>80</v>
      </c>
      <c r="X394" s="2">
        <f>IF(SUMIFS(StandardName[RankValueInTheRanking],StandardName[StandardizedName],THE_Webometrics[[#This Row],[Nazwa uczelni]],StandardName[Ranking],$X$1)=0,$N$3,SUMIFS(StandardName[RankValueInTheRanking],StandardName[StandardizedName],THE_Webometrics[[#This Row],[Nazwa uczelni]],StandardName[Ranking],$X$1))</f>
        <v>7</v>
      </c>
      <c r="Y394" s="2">
        <f>SUM(THE_Webometrics[[#This Row],[THE_RV1000]:[Webometrics_RV1000]])</f>
        <v>130</v>
      </c>
      <c r="Z394" s="2">
        <v>26</v>
      </c>
      <c r="AA394" s="2">
        <v>17</v>
      </c>
      <c r="AB394" s="2">
        <v>80</v>
      </c>
      <c r="AC394" s="2">
        <v>7</v>
      </c>
    </row>
    <row r="395" spans="9:29" outlineLevel="1" x14ac:dyDescent="0.45">
      <c r="I395" t="s">
        <v>839</v>
      </c>
      <c r="J395">
        <v>93</v>
      </c>
      <c r="K395" t="s">
        <v>618</v>
      </c>
      <c r="L395">
        <v>93</v>
      </c>
      <c r="M395" t="s">
        <v>850</v>
      </c>
      <c r="O395" s="1" t="s">
        <v>194</v>
      </c>
      <c r="P395" s="1">
        <v>1</v>
      </c>
      <c r="Q395" s="1">
        <v>1</v>
      </c>
      <c r="R395" s="1">
        <v>1</v>
      </c>
      <c r="S395" s="1">
        <v>1</v>
      </c>
      <c r="T395" s="1">
        <v>4</v>
      </c>
      <c r="U395" s="2">
        <f>IF(SUMIFS(StandardName[RankValueInTheRanking],StandardName[StandardizedName],THE_Webometrics[[#This Row],[Nazwa uczelni]],StandardName[Ranking],$U$1)=0,$N$3,SUMIFS(StandardName[RankValueInTheRanking],StandardName[StandardizedName],THE_Webometrics[[#This Row],[Nazwa uczelni]],StandardName[Ranking],$U$1))</f>
        <v>34</v>
      </c>
      <c r="V395" s="2">
        <f>IF(SUMIFS(StandardName[RankValueInTheRanking],StandardName[StandardizedName],THE_Webometrics[[#This Row],[Nazwa uczelni]],StandardName[Ranking],$V$1)=0,$N$3,SUMIFS(StandardName[RankValueInTheRanking],StandardName[StandardizedName],THE_Webometrics[[#This Row],[Nazwa uczelni]],StandardName[Ranking],$V$1))</f>
        <v>32</v>
      </c>
      <c r="W395" s="2">
        <f>IF(SUMIFS(StandardName[RankValueInTheRanking],StandardName[StandardizedName],THE_Webometrics[[#This Row],[Nazwa uczelni]],StandardName[Ranking],$W$1)=0,$N$3,SUMIFS(StandardName[RankValueInTheRanking],StandardName[StandardizedName],THE_Webometrics[[#This Row],[Nazwa uczelni]],StandardName[Ranking],$W$1))</f>
        <v>33</v>
      </c>
      <c r="X395" s="2">
        <f>IF(SUMIFS(StandardName[RankValueInTheRanking],StandardName[StandardizedName],THE_Webometrics[[#This Row],[Nazwa uczelni]],StandardName[Ranking],$X$1)=0,$N$3,SUMIFS(StandardName[RankValueInTheRanking],StandardName[StandardizedName],THE_Webometrics[[#This Row],[Nazwa uczelni]],StandardName[Ranking],$X$1))</f>
        <v>40</v>
      </c>
      <c r="Y395" s="2">
        <f>SUM(THE_Webometrics[[#This Row],[THE_RV1000]:[Webometrics_RV1000]])</f>
        <v>139</v>
      </c>
      <c r="Z395" s="1">
        <v>34</v>
      </c>
      <c r="AA395" s="1">
        <v>32</v>
      </c>
      <c r="AB395" s="1">
        <v>33</v>
      </c>
      <c r="AC395" s="1">
        <v>40</v>
      </c>
    </row>
    <row r="396" spans="9:29" outlineLevel="1" x14ac:dyDescent="0.45">
      <c r="I396" t="s">
        <v>840</v>
      </c>
      <c r="J396">
        <v>94</v>
      </c>
      <c r="K396" t="s">
        <v>369</v>
      </c>
      <c r="L396">
        <v>94</v>
      </c>
      <c r="M396" t="s">
        <v>850</v>
      </c>
      <c r="O396" s="2" t="s">
        <v>110</v>
      </c>
      <c r="P396" s="2">
        <v>1</v>
      </c>
      <c r="Q396" s="2">
        <v>1</v>
      </c>
      <c r="R396" s="2">
        <v>1</v>
      </c>
      <c r="S396" s="2">
        <v>1</v>
      </c>
      <c r="T396" s="2">
        <v>4</v>
      </c>
      <c r="U396" s="2">
        <f>IF(SUMIFS(StandardName[RankValueInTheRanking],StandardName[StandardizedName],THE_Webometrics[[#This Row],[Nazwa uczelni]],StandardName[Ranking],$U$1)=0,$N$3,SUMIFS(StandardName[RankValueInTheRanking],StandardName[StandardizedName],THE_Webometrics[[#This Row],[Nazwa uczelni]],StandardName[Ranking],$U$1))</f>
        <v>19</v>
      </c>
      <c r="V396" s="2">
        <f>IF(SUMIFS(StandardName[RankValueInTheRanking],StandardName[StandardizedName],THE_Webometrics[[#This Row],[Nazwa uczelni]],StandardName[Ranking],$V$1)=0,$N$3,SUMIFS(StandardName[RankValueInTheRanking],StandardName[StandardizedName],THE_Webometrics[[#This Row],[Nazwa uczelni]],StandardName[Ranking],$V$1))</f>
        <v>71</v>
      </c>
      <c r="W396" s="2">
        <f>IF(SUMIFS(StandardName[RankValueInTheRanking],StandardName[StandardizedName],THE_Webometrics[[#This Row],[Nazwa uczelni]],StandardName[Ranking],$W$1)=0,$N$3,SUMIFS(StandardName[RankValueInTheRanking],StandardName[StandardizedName],THE_Webometrics[[#This Row],[Nazwa uczelni]],StandardName[Ranking],$W$1))</f>
        <v>11</v>
      </c>
      <c r="X396" s="2">
        <f>IF(SUMIFS(StandardName[RankValueInTheRanking],StandardName[StandardizedName],THE_Webometrics[[#This Row],[Nazwa uczelni]],StandardName[Ranking],$X$1)=0,$N$3,SUMIFS(StandardName[RankValueInTheRanking],StandardName[StandardizedName],THE_Webometrics[[#This Row],[Nazwa uczelni]],StandardName[Ranking],$X$1))</f>
        <v>47</v>
      </c>
      <c r="Y396" s="2">
        <f>SUM(THE_Webometrics[[#This Row],[THE_RV1000]:[Webometrics_RV1000]])</f>
        <v>148</v>
      </c>
      <c r="Z396" s="2">
        <v>19</v>
      </c>
      <c r="AA396" s="2">
        <v>71</v>
      </c>
      <c r="AB396" s="2">
        <v>11</v>
      </c>
      <c r="AC396" s="2">
        <v>47</v>
      </c>
    </row>
    <row r="397" spans="9:29" outlineLevel="1" x14ac:dyDescent="0.45">
      <c r="I397" t="s">
        <v>841</v>
      </c>
      <c r="J397">
        <v>95</v>
      </c>
      <c r="K397" t="s">
        <v>385</v>
      </c>
      <c r="L397">
        <v>95</v>
      </c>
      <c r="M397" t="s">
        <v>850</v>
      </c>
      <c r="O397" s="1" t="s">
        <v>854</v>
      </c>
      <c r="P397" s="1">
        <v>1</v>
      </c>
      <c r="Q397" s="1">
        <v>1</v>
      </c>
      <c r="R397" s="1">
        <v>1</v>
      </c>
      <c r="S397" s="1">
        <v>1</v>
      </c>
      <c r="T397" s="1">
        <v>4</v>
      </c>
      <c r="U397" s="2">
        <f>IF(SUMIFS(StandardName[RankValueInTheRanking],StandardName[StandardizedName],THE_Webometrics[[#This Row],[Nazwa uczelni]],StandardName[Ranking],$U$1)=0,$N$3,SUMIFS(StandardName[RankValueInTheRanking],StandardName[StandardizedName],THE_Webometrics[[#This Row],[Nazwa uczelni]],StandardName[Ranking],$U$1))</f>
        <v>39</v>
      </c>
      <c r="V397" s="2">
        <f>IF(SUMIFS(StandardName[RankValueInTheRanking],StandardName[StandardizedName],THE_Webometrics[[#This Row],[Nazwa uczelni]],StandardName[Ranking],$V$1)=0,$N$3,SUMIFS(StandardName[RankValueInTheRanking],StandardName[StandardizedName],THE_Webometrics[[#This Row],[Nazwa uczelni]],StandardName[Ranking],$V$1))</f>
        <v>24</v>
      </c>
      <c r="W397" s="2">
        <f>IF(SUMIFS(StandardName[RankValueInTheRanking],StandardName[StandardizedName],THE_Webometrics[[#This Row],[Nazwa uczelni]],StandardName[Ranking],$W$1)=0,$N$3,SUMIFS(StandardName[RankValueInTheRanking],StandardName[StandardizedName],THE_Webometrics[[#This Row],[Nazwa uczelni]],StandardName[Ranking],$W$1))</f>
        <v>23</v>
      </c>
      <c r="X397" s="2">
        <f>IF(SUMIFS(StandardName[RankValueInTheRanking],StandardName[StandardizedName],THE_Webometrics[[#This Row],[Nazwa uczelni]],StandardName[Ranking],$X$1)=0,$N$3,SUMIFS(StandardName[RankValueInTheRanking],StandardName[StandardizedName],THE_Webometrics[[#This Row],[Nazwa uczelni]],StandardName[Ranking],$X$1))</f>
        <v>66</v>
      </c>
      <c r="Y397" s="2">
        <f>SUM(THE_Webometrics[[#This Row],[THE_RV1000]:[Webometrics_RV1000]])</f>
        <v>152</v>
      </c>
      <c r="Z397" s="1">
        <v>39</v>
      </c>
      <c r="AA397" s="1">
        <v>24</v>
      </c>
      <c r="AB397" s="1">
        <v>23</v>
      </c>
      <c r="AC397" s="1">
        <v>66</v>
      </c>
    </row>
    <row r="398" spans="9:29" outlineLevel="1" x14ac:dyDescent="0.45">
      <c r="I398" t="s">
        <v>842</v>
      </c>
      <c r="J398">
        <v>96</v>
      </c>
      <c r="K398" t="s">
        <v>306</v>
      </c>
      <c r="L398">
        <v>96</v>
      </c>
      <c r="M398" t="s">
        <v>850</v>
      </c>
      <c r="O398" s="2" t="s">
        <v>225</v>
      </c>
      <c r="P398" s="2">
        <v>1</v>
      </c>
      <c r="Q398" s="2">
        <v>1</v>
      </c>
      <c r="R398" s="2">
        <v>1</v>
      </c>
      <c r="S398" s="2">
        <v>1</v>
      </c>
      <c r="T398" s="2">
        <v>4</v>
      </c>
      <c r="U398" s="2">
        <f>IF(SUMIFS(StandardName[RankValueInTheRanking],StandardName[StandardizedName],THE_Webometrics[[#This Row],[Nazwa uczelni]],StandardName[Ranking],$U$1)=0,$N$3,SUMIFS(StandardName[RankValueInTheRanking],StandardName[StandardizedName],THE_Webometrics[[#This Row],[Nazwa uczelni]],StandardName[Ranking],$U$1))</f>
        <v>40</v>
      </c>
      <c r="V398" s="2">
        <f>IF(SUMIFS(StandardName[RankValueInTheRanking],StandardName[StandardizedName],THE_Webometrics[[#This Row],[Nazwa uczelni]],StandardName[Ranking],$V$1)=0,$N$3,SUMIFS(StandardName[RankValueInTheRanking],StandardName[StandardizedName],THE_Webometrics[[#This Row],[Nazwa uczelni]],StandardName[Ranking],$V$1))</f>
        <v>44</v>
      </c>
      <c r="W398" s="2">
        <f>IF(SUMIFS(StandardName[RankValueInTheRanking],StandardName[StandardizedName],THE_Webometrics[[#This Row],[Nazwa uczelni]],StandardName[Ranking],$W$1)=0,$N$3,SUMIFS(StandardName[RankValueInTheRanking],StandardName[StandardizedName],THE_Webometrics[[#This Row],[Nazwa uczelni]],StandardName[Ranking],$W$1))</f>
        <v>47</v>
      </c>
      <c r="X398" s="2">
        <f>IF(SUMIFS(StandardName[RankValueInTheRanking],StandardName[StandardizedName],THE_Webometrics[[#This Row],[Nazwa uczelni]],StandardName[Ranking],$X$1)=0,$N$3,SUMIFS(StandardName[RankValueInTheRanking],StandardName[StandardizedName],THE_Webometrics[[#This Row],[Nazwa uczelni]],StandardName[Ranking],$X$1))</f>
        <v>27</v>
      </c>
      <c r="Y398" s="2">
        <f>SUM(THE_Webometrics[[#This Row],[THE_RV1000]:[Webometrics_RV1000]])</f>
        <v>158</v>
      </c>
      <c r="Z398" s="2">
        <v>40</v>
      </c>
      <c r="AA398" s="2">
        <v>44</v>
      </c>
      <c r="AB398" s="2">
        <v>47</v>
      </c>
      <c r="AC398" s="2">
        <v>27</v>
      </c>
    </row>
    <row r="399" spans="9:29" outlineLevel="1" x14ac:dyDescent="0.45">
      <c r="I399" t="s">
        <v>843</v>
      </c>
      <c r="J399">
        <v>97</v>
      </c>
      <c r="K399" t="s">
        <v>598</v>
      </c>
      <c r="L399">
        <v>97</v>
      </c>
      <c r="M399" t="s">
        <v>850</v>
      </c>
      <c r="O399" s="1" t="s">
        <v>296</v>
      </c>
      <c r="P399" s="1">
        <v>1</v>
      </c>
      <c r="Q399" s="1">
        <v>1</v>
      </c>
      <c r="R399" s="1">
        <v>1</v>
      </c>
      <c r="S399" s="1">
        <v>1</v>
      </c>
      <c r="T399" s="1">
        <v>4</v>
      </c>
      <c r="U399" s="2">
        <f>IF(SUMIFS(StandardName[RankValueInTheRanking],StandardName[StandardizedName],THE_Webometrics[[#This Row],[Nazwa uczelni]],StandardName[Ranking],$U$1)=0,$N$3,SUMIFS(StandardName[RankValueInTheRanking],StandardName[StandardizedName],THE_Webometrics[[#This Row],[Nazwa uczelni]],StandardName[Ranking],$U$1))</f>
        <v>54</v>
      </c>
      <c r="V399" s="2">
        <f>IF(SUMIFS(StandardName[RankValueInTheRanking],StandardName[StandardizedName],THE_Webometrics[[#This Row],[Nazwa uczelni]],StandardName[Ranking],$V$1)=0,$N$3,SUMIFS(StandardName[RankValueInTheRanking],StandardName[StandardizedName],THE_Webometrics[[#This Row],[Nazwa uczelni]],StandardName[Ranking],$V$1))</f>
        <v>38</v>
      </c>
      <c r="W399" s="2">
        <f>IF(SUMIFS(StandardName[RankValueInTheRanking],StandardName[StandardizedName],THE_Webometrics[[#This Row],[Nazwa uczelni]],StandardName[Ranking],$W$1)=0,$N$3,SUMIFS(StandardName[RankValueInTheRanking],StandardName[StandardizedName],THE_Webometrics[[#This Row],[Nazwa uczelni]],StandardName[Ranking],$W$1))</f>
        <v>28</v>
      </c>
      <c r="X399" s="2">
        <f>IF(SUMIFS(StandardName[RankValueInTheRanking],StandardName[StandardizedName],THE_Webometrics[[#This Row],[Nazwa uczelni]],StandardName[Ranking],$X$1)=0,$N$3,SUMIFS(StandardName[RankValueInTheRanking],StandardName[StandardizedName],THE_Webometrics[[#This Row],[Nazwa uczelni]],StandardName[Ranking],$X$1))</f>
        <v>61</v>
      </c>
      <c r="Y399" s="2">
        <f>SUM(THE_Webometrics[[#This Row],[THE_RV1000]:[Webometrics_RV1000]])</f>
        <v>181</v>
      </c>
      <c r="Z399" s="1">
        <v>54</v>
      </c>
      <c r="AA399" s="1">
        <v>38</v>
      </c>
      <c r="AB399" s="1">
        <v>28</v>
      </c>
      <c r="AC399" s="1">
        <v>61</v>
      </c>
    </row>
    <row r="400" spans="9:29" outlineLevel="1" x14ac:dyDescent="0.45">
      <c r="I400" t="s">
        <v>844</v>
      </c>
      <c r="J400">
        <v>98</v>
      </c>
      <c r="K400" t="s">
        <v>844</v>
      </c>
      <c r="L400">
        <v>98</v>
      </c>
      <c r="M400" t="s">
        <v>850</v>
      </c>
      <c r="O400" s="2" t="s">
        <v>276</v>
      </c>
      <c r="P400" s="2">
        <v>1</v>
      </c>
      <c r="Q400" s="2">
        <v>1</v>
      </c>
      <c r="R400" s="2">
        <v>1</v>
      </c>
      <c r="S400" s="2">
        <v>1</v>
      </c>
      <c r="T400" s="2">
        <v>4</v>
      </c>
      <c r="U400" s="2">
        <f>IF(SUMIFS(StandardName[RankValueInTheRanking],StandardName[StandardizedName],THE_Webometrics[[#This Row],[Nazwa uczelni]],StandardName[Ranking],$U$1)=0,$N$3,SUMIFS(StandardName[RankValueInTheRanking],StandardName[StandardizedName],THE_Webometrics[[#This Row],[Nazwa uczelni]],StandardName[Ranking],$U$1))</f>
        <v>50</v>
      </c>
      <c r="V400" s="2">
        <f>IF(SUMIFS(StandardName[RankValueInTheRanking],StandardName[StandardizedName],THE_Webometrics[[#This Row],[Nazwa uczelni]],StandardName[Ranking],$V$1)=0,$N$3,SUMIFS(StandardName[RankValueInTheRanking],StandardName[StandardizedName],THE_Webometrics[[#This Row],[Nazwa uczelni]],StandardName[Ranking],$V$1))</f>
        <v>37</v>
      </c>
      <c r="W400" s="2">
        <f>IF(SUMIFS(StandardName[RankValueInTheRanking],StandardName[StandardizedName],THE_Webometrics[[#This Row],[Nazwa uczelni]],StandardName[Ranking],$W$1)=0,$N$3,SUMIFS(StandardName[RankValueInTheRanking],StandardName[StandardizedName],THE_Webometrics[[#This Row],[Nazwa uczelni]],StandardName[Ranking],$W$1))</f>
        <v>72</v>
      </c>
      <c r="X400" s="2">
        <f>IF(SUMIFS(StandardName[RankValueInTheRanking],StandardName[StandardizedName],THE_Webometrics[[#This Row],[Nazwa uczelni]],StandardName[Ranking],$X$1)=0,$N$3,SUMIFS(StandardName[RankValueInTheRanking],StandardName[StandardizedName],THE_Webometrics[[#This Row],[Nazwa uczelni]],StandardName[Ranking],$X$1))</f>
        <v>25</v>
      </c>
      <c r="Y400" s="2">
        <f>SUM(THE_Webometrics[[#This Row],[THE_RV1000]:[Webometrics_RV1000]])</f>
        <v>184</v>
      </c>
      <c r="Z400" s="2">
        <v>50</v>
      </c>
      <c r="AA400" s="2">
        <v>37</v>
      </c>
      <c r="AB400" s="2">
        <v>72</v>
      </c>
      <c r="AC400" s="2">
        <v>25</v>
      </c>
    </row>
    <row r="401" spans="9:29" outlineLevel="1" x14ac:dyDescent="0.45">
      <c r="I401" t="s">
        <v>440</v>
      </c>
      <c r="J401">
        <v>99</v>
      </c>
      <c r="K401" t="s">
        <v>440</v>
      </c>
      <c r="L401">
        <v>99</v>
      </c>
      <c r="M401" t="s">
        <v>850</v>
      </c>
      <c r="O401" s="1" t="s">
        <v>199</v>
      </c>
      <c r="P401" s="1">
        <v>1</v>
      </c>
      <c r="Q401" s="1">
        <v>1</v>
      </c>
      <c r="R401" s="1">
        <v>1</v>
      </c>
      <c r="S401" s="1">
        <v>1</v>
      </c>
      <c r="T401" s="1">
        <v>4</v>
      </c>
      <c r="U401" s="2">
        <f>IF(SUMIFS(StandardName[RankValueInTheRanking],StandardName[StandardizedName],THE_Webometrics[[#This Row],[Nazwa uczelni]],StandardName[Ranking],$U$1)=0,$N$3,SUMIFS(StandardName[RankValueInTheRanking],StandardName[StandardizedName],THE_Webometrics[[#This Row],[Nazwa uczelni]],StandardName[Ranking],$U$1))</f>
        <v>35</v>
      </c>
      <c r="V401" s="2">
        <f>IF(SUMIFS(StandardName[RankValueInTheRanking],StandardName[StandardizedName],THE_Webometrics[[#This Row],[Nazwa uczelni]],StandardName[Ranking],$V$1)=0,$N$3,SUMIFS(StandardName[RankValueInTheRanking],StandardName[StandardizedName],THE_Webometrics[[#This Row],[Nazwa uczelni]],StandardName[Ranking],$V$1))</f>
        <v>48</v>
      </c>
      <c r="W401" s="2">
        <f>IF(SUMIFS(StandardName[RankValueInTheRanking],StandardName[StandardizedName],THE_Webometrics[[#This Row],[Nazwa uczelni]],StandardName[Ranking],$W$1)=0,$N$3,SUMIFS(StandardName[RankValueInTheRanking],StandardName[StandardizedName],THE_Webometrics[[#This Row],[Nazwa uczelni]],StandardName[Ranking],$W$1))</f>
        <v>37</v>
      </c>
      <c r="X401" s="2">
        <f>IF(SUMIFS(StandardName[RankValueInTheRanking],StandardName[StandardizedName],THE_Webometrics[[#This Row],[Nazwa uczelni]],StandardName[Ranking],$X$1)=0,$N$3,SUMIFS(StandardName[RankValueInTheRanking],StandardName[StandardizedName],THE_Webometrics[[#This Row],[Nazwa uczelni]],StandardName[Ranking],$X$1))</f>
        <v>67</v>
      </c>
      <c r="Y401" s="2">
        <f>SUM(THE_Webometrics[[#This Row],[THE_RV1000]:[Webometrics_RV1000]])</f>
        <v>187</v>
      </c>
      <c r="Z401" s="1">
        <v>35</v>
      </c>
      <c r="AA401" s="1">
        <v>48</v>
      </c>
      <c r="AB401" s="1">
        <v>37</v>
      </c>
      <c r="AC401" s="1">
        <v>67</v>
      </c>
    </row>
    <row r="402" spans="9:29" outlineLevel="1" x14ac:dyDescent="0.45">
      <c r="I402" t="s">
        <v>845</v>
      </c>
      <c r="J402">
        <v>100</v>
      </c>
      <c r="K402" t="s">
        <v>845</v>
      </c>
      <c r="L402">
        <v>100</v>
      </c>
      <c r="M402" t="s">
        <v>850</v>
      </c>
      <c r="O402" s="2" t="s">
        <v>816</v>
      </c>
      <c r="P402" s="2">
        <v>1</v>
      </c>
      <c r="Q402" s="2">
        <v>1</v>
      </c>
      <c r="R402" s="2">
        <v>1</v>
      </c>
      <c r="S402" s="2">
        <v>1</v>
      </c>
      <c r="T402" s="2">
        <v>4</v>
      </c>
      <c r="U402" s="2">
        <f>IF(SUMIFS(StandardName[RankValueInTheRanking],StandardName[StandardizedName],THE_Webometrics[[#This Row],[Nazwa uczelni]],StandardName[Ranking],$U$1)=0,$N$3,SUMIFS(StandardName[RankValueInTheRanking],StandardName[StandardizedName],THE_Webometrics[[#This Row],[Nazwa uczelni]],StandardName[Ranking],$U$1))</f>
        <v>53</v>
      </c>
      <c r="V402" s="2">
        <f>IF(SUMIFS(StandardName[RankValueInTheRanking],StandardName[StandardizedName],THE_Webometrics[[#This Row],[Nazwa uczelni]],StandardName[Ranking],$V$1)=0,$N$3,SUMIFS(StandardName[RankValueInTheRanking],StandardName[StandardizedName],THE_Webometrics[[#This Row],[Nazwa uczelni]],StandardName[Ranking],$V$1))</f>
        <v>47</v>
      </c>
      <c r="W402" s="2">
        <f>IF(SUMIFS(StandardName[RankValueInTheRanking],StandardName[StandardizedName],THE_Webometrics[[#This Row],[Nazwa uczelni]],StandardName[Ranking],$W$1)=0,$N$3,SUMIFS(StandardName[RankValueInTheRanking],StandardName[StandardizedName],THE_Webometrics[[#This Row],[Nazwa uczelni]],StandardName[Ranking],$W$1))</f>
        <v>50</v>
      </c>
      <c r="X402" s="2">
        <f>IF(SUMIFS(StandardName[RankValueInTheRanking],StandardName[StandardizedName],THE_Webometrics[[#This Row],[Nazwa uczelni]],StandardName[Ranking],$X$1)=0,$N$3,SUMIFS(StandardName[RankValueInTheRanking],StandardName[StandardizedName],THE_Webometrics[[#This Row],[Nazwa uczelni]],StandardName[Ranking],$X$1))</f>
        <v>52</v>
      </c>
      <c r="Y402" s="2">
        <f>SUM(THE_Webometrics[[#This Row],[THE_RV1000]:[Webometrics_RV1000]])</f>
        <v>202</v>
      </c>
      <c r="Z402" s="2">
        <v>53</v>
      </c>
      <c r="AA402" s="2">
        <v>47</v>
      </c>
      <c r="AB402" s="2">
        <v>50</v>
      </c>
      <c r="AC402" s="2">
        <v>52</v>
      </c>
    </row>
    <row r="403" spans="9:29" outlineLevel="1" x14ac:dyDescent="0.45">
      <c r="O403" s="1" t="s">
        <v>572</v>
      </c>
      <c r="P403" s="1">
        <v>1</v>
      </c>
      <c r="Q403" s="1">
        <v>1</v>
      </c>
      <c r="R403" s="1">
        <v>1</v>
      </c>
      <c r="S403" s="1">
        <v>1</v>
      </c>
      <c r="T403" s="1">
        <v>4</v>
      </c>
      <c r="U403" s="2">
        <f>IF(SUMIFS(StandardName[RankValueInTheRanking],StandardName[StandardizedName],THE_Webometrics[[#This Row],[Nazwa uczelni]],StandardName[Ranking],$U$1)=0,$N$3,SUMIFS(StandardName[RankValueInTheRanking],StandardName[StandardizedName],THE_Webometrics[[#This Row],[Nazwa uczelni]],StandardName[Ranking],$U$1))</f>
        <v>54</v>
      </c>
      <c r="V403" s="2">
        <f>IF(SUMIFS(StandardName[RankValueInTheRanking],StandardName[StandardizedName],THE_Webometrics[[#This Row],[Nazwa uczelni]],StandardName[Ranking],$V$1)=0,$N$3,SUMIFS(StandardName[RankValueInTheRanking],StandardName[StandardizedName],THE_Webometrics[[#This Row],[Nazwa uczelni]],StandardName[Ranking],$V$1))</f>
        <v>60</v>
      </c>
      <c r="W403" s="2">
        <f>IF(SUMIFS(StandardName[RankValueInTheRanking],StandardName[StandardizedName],THE_Webometrics[[#This Row],[Nazwa uczelni]],StandardName[Ranking],$W$1)=0,$N$3,SUMIFS(StandardName[RankValueInTheRanking],StandardName[StandardizedName],THE_Webometrics[[#This Row],[Nazwa uczelni]],StandardName[Ranking],$W$1))</f>
        <v>41</v>
      </c>
      <c r="X403" s="2">
        <f>IF(SUMIFS(StandardName[RankValueInTheRanking],StandardName[StandardizedName],THE_Webometrics[[#This Row],[Nazwa uczelni]],StandardName[Ranking],$X$1)=0,$N$3,SUMIFS(StandardName[RankValueInTheRanking],StandardName[StandardizedName],THE_Webometrics[[#This Row],[Nazwa uczelni]],StandardName[Ranking],$X$1))</f>
        <v>50</v>
      </c>
      <c r="Y403" s="2">
        <f>SUM(THE_Webometrics[[#This Row],[THE_RV1000]:[Webometrics_RV1000]])</f>
        <v>205</v>
      </c>
      <c r="Z403" s="1">
        <v>54</v>
      </c>
      <c r="AA403" s="1">
        <v>60</v>
      </c>
      <c r="AB403" s="1">
        <v>41</v>
      </c>
      <c r="AC403" s="1">
        <v>50</v>
      </c>
    </row>
    <row r="404" spans="9:29" outlineLevel="1" x14ac:dyDescent="0.45">
      <c r="O404" s="2" t="s">
        <v>253</v>
      </c>
      <c r="P404" s="2">
        <v>1</v>
      </c>
      <c r="Q404" s="2">
        <v>1</v>
      </c>
      <c r="R404" s="2">
        <v>1</v>
      </c>
      <c r="S404" s="2">
        <v>1</v>
      </c>
      <c r="T404" s="2">
        <v>4</v>
      </c>
      <c r="U404" s="2">
        <f>IF(SUMIFS(StandardName[RankValueInTheRanking],StandardName[StandardizedName],THE_Webometrics[[#This Row],[Nazwa uczelni]],StandardName[Ranking],$U$1)=0,$N$3,SUMIFS(StandardName[RankValueInTheRanking],StandardName[StandardizedName],THE_Webometrics[[#This Row],[Nazwa uczelni]],StandardName[Ranking],$U$1))</f>
        <v>46</v>
      </c>
      <c r="V404" s="2">
        <f>IF(SUMIFS(StandardName[RankValueInTheRanking],StandardName[StandardizedName],THE_Webometrics[[#This Row],[Nazwa uczelni]],StandardName[Ranking],$V$1)=0,$N$3,SUMIFS(StandardName[RankValueInTheRanking],StandardName[StandardizedName],THE_Webometrics[[#This Row],[Nazwa uczelni]],StandardName[Ranking],$V$1))</f>
        <v>73</v>
      </c>
      <c r="W404" s="2">
        <f>IF(SUMIFS(StandardName[RankValueInTheRanking],StandardName[StandardizedName],THE_Webometrics[[#This Row],[Nazwa uczelni]],StandardName[Ranking],$W$1)=0,$N$3,SUMIFS(StandardName[RankValueInTheRanking],StandardName[StandardizedName],THE_Webometrics[[#This Row],[Nazwa uczelni]],StandardName[Ranking],$W$1))</f>
        <v>31</v>
      </c>
      <c r="X404" s="2">
        <f>IF(SUMIFS(StandardName[RankValueInTheRanking],StandardName[StandardizedName],THE_Webometrics[[#This Row],[Nazwa uczelni]],StandardName[Ranking],$X$1)=0,$N$3,SUMIFS(StandardName[RankValueInTheRanking],StandardName[StandardizedName],THE_Webometrics[[#This Row],[Nazwa uczelni]],StandardName[Ranking],$X$1))</f>
        <v>60</v>
      </c>
      <c r="Y404" s="2">
        <f>SUM(THE_Webometrics[[#This Row],[THE_RV1000]:[Webometrics_RV1000]])</f>
        <v>210</v>
      </c>
      <c r="Z404" s="2">
        <v>46</v>
      </c>
      <c r="AA404" s="2">
        <v>73</v>
      </c>
      <c r="AB404" s="2">
        <v>31</v>
      </c>
      <c r="AC404" s="2">
        <v>60</v>
      </c>
    </row>
    <row r="405" spans="9:29" outlineLevel="1" x14ac:dyDescent="0.45">
      <c r="I405" s="1" t="s">
        <v>599</v>
      </c>
      <c r="O405" s="1" t="s">
        <v>355</v>
      </c>
      <c r="P405" s="1">
        <v>1</v>
      </c>
      <c r="Q405" s="1">
        <v>1</v>
      </c>
      <c r="R405" s="1">
        <v>1</v>
      </c>
      <c r="S405" s="1">
        <v>1</v>
      </c>
      <c r="T405" s="1">
        <v>4</v>
      </c>
      <c r="U405" s="2">
        <f>IF(SUMIFS(StandardName[RankValueInTheRanking],StandardName[StandardizedName],THE_Webometrics[[#This Row],[Nazwa uczelni]],StandardName[Ranking],$U$1)=0,$N$3,SUMIFS(StandardName[RankValueInTheRanking],StandardName[StandardizedName],THE_Webometrics[[#This Row],[Nazwa uczelni]],StandardName[Ranking],$U$1))</f>
        <v>67</v>
      </c>
      <c r="V405" s="2">
        <f>IF(SUMIFS(StandardName[RankValueInTheRanking],StandardName[StandardizedName],THE_Webometrics[[#This Row],[Nazwa uczelni]],StandardName[Ranking],$V$1)=0,$N$3,SUMIFS(StandardName[RankValueInTheRanking],StandardName[StandardizedName],THE_Webometrics[[#This Row],[Nazwa uczelni]],StandardName[Ranking],$V$1))</f>
        <v>36</v>
      </c>
      <c r="W405" s="2">
        <f>IF(SUMIFS(StandardName[RankValueInTheRanking],StandardName[StandardizedName],THE_Webometrics[[#This Row],[Nazwa uczelni]],StandardName[Ranking],$W$1)=0,$N$3,SUMIFS(StandardName[RankValueInTheRanking],StandardName[StandardizedName],THE_Webometrics[[#This Row],[Nazwa uczelni]],StandardName[Ranking],$W$1))</f>
        <v>42</v>
      </c>
      <c r="X405" s="2">
        <f>IF(SUMIFS(StandardName[RankValueInTheRanking],StandardName[StandardizedName],THE_Webometrics[[#This Row],[Nazwa uczelni]],StandardName[Ranking],$X$1)=0,$N$3,SUMIFS(StandardName[RankValueInTheRanking],StandardName[StandardizedName],THE_Webometrics[[#This Row],[Nazwa uczelni]],StandardName[Ranking],$X$1))</f>
        <v>68</v>
      </c>
      <c r="Y405" s="2">
        <f>SUM(THE_Webometrics[[#This Row],[THE_RV1000]:[Webometrics_RV1000]])</f>
        <v>213</v>
      </c>
      <c r="Z405" s="1">
        <v>67</v>
      </c>
      <c r="AA405" s="1">
        <v>36</v>
      </c>
      <c r="AB405" s="1">
        <v>42</v>
      </c>
      <c r="AC405" s="1">
        <v>68</v>
      </c>
    </row>
    <row r="406" spans="9:29" outlineLevel="1" x14ac:dyDescent="0.45">
      <c r="I406" s="2" t="s">
        <v>625</v>
      </c>
      <c r="O406" s="2" t="s">
        <v>266</v>
      </c>
      <c r="P406" s="2">
        <v>1</v>
      </c>
      <c r="Q406" s="2">
        <v>1</v>
      </c>
      <c r="R406" s="2">
        <v>1</v>
      </c>
      <c r="S406" s="2">
        <v>1</v>
      </c>
      <c r="T406" s="2">
        <v>4</v>
      </c>
      <c r="U406" s="2">
        <f>IF(SUMIFS(StandardName[RankValueInTheRanking],StandardName[StandardizedName],THE_Webometrics[[#This Row],[Nazwa uczelni]],StandardName[Ranking],$U$1)=0,$N$3,SUMIFS(StandardName[RankValueInTheRanking],StandardName[StandardizedName],THE_Webometrics[[#This Row],[Nazwa uczelni]],StandardName[Ranking],$U$1))</f>
        <v>48</v>
      </c>
      <c r="V406" s="2">
        <f>IF(SUMIFS(StandardName[RankValueInTheRanking],StandardName[StandardizedName],THE_Webometrics[[#This Row],[Nazwa uczelni]],StandardName[Ranking],$V$1)=0,$N$3,SUMIFS(StandardName[RankValueInTheRanking],StandardName[StandardizedName],THE_Webometrics[[#This Row],[Nazwa uczelni]],StandardName[Ranking],$V$1))</f>
        <v>49</v>
      </c>
      <c r="W406" s="2">
        <f>IF(SUMIFS(StandardName[RankValueInTheRanking],StandardName[StandardizedName],THE_Webometrics[[#This Row],[Nazwa uczelni]],StandardName[Ranking],$W$1)=0,$N$3,SUMIFS(StandardName[RankValueInTheRanking],StandardName[StandardizedName],THE_Webometrics[[#This Row],[Nazwa uczelni]],StandardName[Ranking],$W$1))</f>
        <v>85</v>
      </c>
      <c r="X406" s="2">
        <f>IF(SUMIFS(StandardName[RankValueInTheRanking],StandardName[StandardizedName],THE_Webometrics[[#This Row],[Nazwa uczelni]],StandardName[Ranking],$X$1)=0,$N$3,SUMIFS(StandardName[RankValueInTheRanking],StandardName[StandardizedName],THE_Webometrics[[#This Row],[Nazwa uczelni]],StandardName[Ranking],$X$1))</f>
        <v>33</v>
      </c>
      <c r="Y406" s="2">
        <f>SUM(THE_Webometrics[[#This Row],[THE_RV1000]:[Webometrics_RV1000]])</f>
        <v>215</v>
      </c>
      <c r="Z406" s="2">
        <v>48</v>
      </c>
      <c r="AA406" s="2">
        <v>49</v>
      </c>
      <c r="AB406" s="2">
        <v>85</v>
      </c>
      <c r="AC406" s="2">
        <v>33</v>
      </c>
    </row>
    <row r="407" spans="9:29" outlineLevel="1" x14ac:dyDescent="0.45">
      <c r="I407" s="1" t="s">
        <v>337</v>
      </c>
      <c r="O407" s="1" t="s">
        <v>412</v>
      </c>
      <c r="P407" s="1">
        <v>1</v>
      </c>
      <c r="Q407" s="1">
        <v>1</v>
      </c>
      <c r="R407" s="1">
        <v>1</v>
      </c>
      <c r="S407" s="1">
        <v>1</v>
      </c>
      <c r="T407" s="1">
        <v>4</v>
      </c>
      <c r="U407" s="2">
        <f>IF(SUMIFS(StandardName[RankValueInTheRanking],StandardName[StandardizedName],THE_Webometrics[[#This Row],[Nazwa uczelni]],StandardName[Ranking],$U$1)=0,$N$3,SUMIFS(StandardName[RankValueInTheRanking],StandardName[StandardizedName],THE_Webometrics[[#This Row],[Nazwa uczelni]],StandardName[Ranking],$U$1))</f>
        <v>81</v>
      </c>
      <c r="V407" s="2">
        <f>IF(SUMIFS(StandardName[RankValueInTheRanking],StandardName[StandardizedName],THE_Webometrics[[#This Row],[Nazwa uczelni]],StandardName[Ranking],$V$1)=0,$N$3,SUMIFS(StandardName[RankValueInTheRanking],StandardName[StandardizedName],THE_Webometrics[[#This Row],[Nazwa uczelni]],StandardName[Ranking],$V$1))</f>
        <v>33</v>
      </c>
      <c r="W407" s="2">
        <f>IF(SUMIFS(StandardName[RankValueInTheRanking],StandardName[StandardizedName],THE_Webometrics[[#This Row],[Nazwa uczelni]],StandardName[Ranking],$W$1)=0,$N$3,SUMIFS(StandardName[RankValueInTheRanking],StandardName[StandardizedName],THE_Webometrics[[#This Row],[Nazwa uczelni]],StandardName[Ranking],$W$1))</f>
        <v>83</v>
      </c>
      <c r="X407" s="2">
        <f>IF(SUMIFS(StandardName[RankValueInTheRanking],StandardName[StandardizedName],THE_Webometrics[[#This Row],[Nazwa uczelni]],StandardName[Ranking],$X$1)=0,$N$3,SUMIFS(StandardName[RankValueInTheRanking],StandardName[StandardizedName],THE_Webometrics[[#This Row],[Nazwa uczelni]],StandardName[Ranking],$X$1))</f>
        <v>20</v>
      </c>
      <c r="Y407" s="2">
        <f>SUM(THE_Webometrics[[#This Row],[THE_RV1000]:[Webometrics_RV1000]])</f>
        <v>217</v>
      </c>
      <c r="Z407" s="1">
        <v>81</v>
      </c>
      <c r="AA407" s="1">
        <v>33</v>
      </c>
      <c r="AB407" s="1">
        <v>83</v>
      </c>
      <c r="AC407" s="1">
        <v>20</v>
      </c>
    </row>
    <row r="408" spans="9:29" outlineLevel="1" x14ac:dyDescent="0.45">
      <c r="I408" s="2" t="s">
        <v>372</v>
      </c>
      <c r="O408" s="2" t="s">
        <v>286</v>
      </c>
      <c r="P408" s="2">
        <v>1</v>
      </c>
      <c r="Q408" s="2">
        <v>1</v>
      </c>
      <c r="R408" s="2">
        <v>1</v>
      </c>
      <c r="S408" s="2">
        <v>1</v>
      </c>
      <c r="T408" s="2">
        <v>4</v>
      </c>
      <c r="U408" s="2">
        <f>IF(SUMIFS(StandardName[RankValueInTheRanking],StandardName[StandardizedName],THE_Webometrics[[#This Row],[Nazwa uczelni]],StandardName[Ranking],$U$1)=0,$N$3,SUMIFS(StandardName[RankValueInTheRanking],StandardName[StandardizedName],THE_Webometrics[[#This Row],[Nazwa uczelni]],StandardName[Ranking],$U$1))</f>
        <v>52</v>
      </c>
      <c r="V408" s="2">
        <f>IF(SUMIFS(StandardName[RankValueInTheRanking],StandardName[StandardizedName],THE_Webometrics[[#This Row],[Nazwa uczelni]],StandardName[Ranking],$V$1)=0,$N$3,SUMIFS(StandardName[RankValueInTheRanking],StandardName[StandardizedName],THE_Webometrics[[#This Row],[Nazwa uczelni]],StandardName[Ranking],$V$1))</f>
        <v>54</v>
      </c>
      <c r="W408" s="2">
        <f>IF(SUMIFS(StandardName[RankValueInTheRanking],StandardName[StandardizedName],THE_Webometrics[[#This Row],[Nazwa uczelni]],StandardName[Ranking],$W$1)=0,$N$3,SUMIFS(StandardName[RankValueInTheRanking],StandardName[StandardizedName],THE_Webometrics[[#This Row],[Nazwa uczelni]],StandardName[Ranking],$W$1))</f>
        <v>46</v>
      </c>
      <c r="X408" s="2">
        <f>IF(SUMIFS(StandardName[RankValueInTheRanking],StandardName[StandardizedName],THE_Webometrics[[#This Row],[Nazwa uczelni]],StandardName[Ranking],$X$1)=0,$N$3,SUMIFS(StandardName[RankValueInTheRanking],StandardName[StandardizedName],THE_Webometrics[[#This Row],[Nazwa uczelni]],StandardName[Ranking],$X$1))</f>
        <v>69</v>
      </c>
      <c r="Y408" s="2">
        <f>SUM(THE_Webometrics[[#This Row],[THE_RV1000]:[Webometrics_RV1000]])</f>
        <v>221</v>
      </c>
      <c r="Z408" s="2">
        <v>52</v>
      </c>
      <c r="AA408" s="2">
        <v>54</v>
      </c>
      <c r="AB408" s="2">
        <v>46</v>
      </c>
      <c r="AC408" s="2">
        <v>69</v>
      </c>
    </row>
    <row r="409" spans="9:29" outlineLevel="1" x14ac:dyDescent="0.45">
      <c r="I409" s="2" t="s">
        <v>332</v>
      </c>
      <c r="O409" s="1" t="s">
        <v>810</v>
      </c>
      <c r="P409" s="1">
        <v>1</v>
      </c>
      <c r="Q409" s="1">
        <v>1</v>
      </c>
      <c r="R409" s="1">
        <v>1</v>
      </c>
      <c r="S409" s="1">
        <v>1</v>
      </c>
      <c r="T409" s="1">
        <v>4</v>
      </c>
      <c r="U409" s="2">
        <f>IF(SUMIFS(StandardName[RankValueInTheRanking],StandardName[StandardizedName],THE_Webometrics[[#This Row],[Nazwa uczelni]],StandardName[Ranking],$U$1)=0,$N$3,SUMIFS(StandardName[RankValueInTheRanking],StandardName[StandardizedName],THE_Webometrics[[#This Row],[Nazwa uczelni]],StandardName[Ranking],$U$1))</f>
        <v>71</v>
      </c>
      <c r="V409" s="2">
        <f>IF(SUMIFS(StandardName[RankValueInTheRanking],StandardName[StandardizedName],THE_Webometrics[[#This Row],[Nazwa uczelni]],StandardName[Ranking],$V$1)=0,$N$3,SUMIFS(StandardName[RankValueInTheRanking],StandardName[StandardizedName],THE_Webometrics[[#This Row],[Nazwa uczelni]],StandardName[Ranking],$V$1))</f>
        <v>64</v>
      </c>
      <c r="W409" s="2">
        <f>IF(SUMIFS(StandardName[RankValueInTheRanking],StandardName[StandardizedName],THE_Webometrics[[#This Row],[Nazwa uczelni]],StandardName[Ranking],$W$1)=0,$N$3,SUMIFS(StandardName[RankValueInTheRanking],StandardName[StandardizedName],THE_Webometrics[[#This Row],[Nazwa uczelni]],StandardName[Ranking],$W$1))</f>
        <v>45</v>
      </c>
      <c r="X409" s="2">
        <f>IF(SUMIFS(StandardName[RankValueInTheRanking],StandardName[StandardizedName],THE_Webometrics[[#This Row],[Nazwa uczelni]],StandardName[Ranking],$X$1)=0,$N$3,SUMIFS(StandardName[RankValueInTheRanking],StandardName[StandardizedName],THE_Webometrics[[#This Row],[Nazwa uczelni]],StandardName[Ranking],$X$1))</f>
        <v>41</v>
      </c>
      <c r="Y409" s="2">
        <f>SUM(THE_Webometrics[[#This Row],[THE_RV1000]:[Webometrics_RV1000]])</f>
        <v>221</v>
      </c>
      <c r="Z409" s="1">
        <v>71</v>
      </c>
      <c r="AA409" s="1">
        <v>64</v>
      </c>
      <c r="AB409" s="1">
        <v>45</v>
      </c>
      <c r="AC409" s="1">
        <v>41</v>
      </c>
    </row>
    <row r="410" spans="9:29" outlineLevel="1" x14ac:dyDescent="0.45">
      <c r="I410" s="2" t="s">
        <v>31</v>
      </c>
      <c r="O410" s="2" t="s">
        <v>179</v>
      </c>
      <c r="P410" s="2">
        <v>1</v>
      </c>
      <c r="Q410" s="2">
        <v>1</v>
      </c>
      <c r="R410" s="2">
        <v>1</v>
      </c>
      <c r="S410" s="2">
        <v>1</v>
      </c>
      <c r="T410" s="2">
        <v>4</v>
      </c>
      <c r="U410" s="2">
        <f>IF(SUMIFS(StandardName[RankValueInTheRanking],StandardName[StandardizedName],THE_Webometrics[[#This Row],[Nazwa uczelni]],StandardName[Ranking],$U$1)=0,$N$3,SUMIFS(StandardName[RankValueInTheRanking],StandardName[StandardizedName],THE_Webometrics[[#This Row],[Nazwa uczelni]],StandardName[Ranking],$U$1))</f>
        <v>31</v>
      </c>
      <c r="V410" s="2">
        <f>IF(SUMIFS(StandardName[RankValueInTheRanking],StandardName[StandardizedName],THE_Webometrics[[#This Row],[Nazwa uczelni]],StandardName[Ranking],$V$1)=0,$N$3,SUMIFS(StandardName[RankValueInTheRanking],StandardName[StandardizedName],THE_Webometrics[[#This Row],[Nazwa uczelni]],StandardName[Ranking],$V$1))</f>
        <v>96</v>
      </c>
      <c r="W410" s="2">
        <f>IF(SUMIFS(StandardName[RankValueInTheRanking],StandardName[StandardizedName],THE_Webometrics[[#This Row],[Nazwa uczelni]],StandardName[Ranking],$W$1)=0,$N$3,SUMIFS(StandardName[RankValueInTheRanking],StandardName[StandardizedName],THE_Webometrics[[#This Row],[Nazwa uczelni]],StandardName[Ranking],$W$1))</f>
        <v>21</v>
      </c>
      <c r="X410" s="2">
        <f>IF(SUMIFS(StandardName[RankValueInTheRanking],StandardName[StandardizedName],THE_Webometrics[[#This Row],[Nazwa uczelni]],StandardName[Ranking],$X$1)=0,$N$3,SUMIFS(StandardName[RankValueInTheRanking],StandardName[StandardizedName],THE_Webometrics[[#This Row],[Nazwa uczelni]],StandardName[Ranking],$X$1))</f>
        <v>75</v>
      </c>
      <c r="Y410" s="2">
        <f>SUM(THE_Webometrics[[#This Row],[THE_RV1000]:[Webometrics_RV1000]])</f>
        <v>223</v>
      </c>
      <c r="Z410" s="2">
        <v>31</v>
      </c>
      <c r="AA410" s="2">
        <v>96</v>
      </c>
      <c r="AB410" s="2">
        <v>21</v>
      </c>
      <c r="AC410" s="2">
        <v>75</v>
      </c>
    </row>
    <row r="411" spans="9:29" outlineLevel="1" x14ac:dyDescent="0.45">
      <c r="I411" s="2" t="s">
        <v>162</v>
      </c>
      <c r="O411" s="1" t="s">
        <v>614</v>
      </c>
      <c r="P411" s="1">
        <v>1</v>
      </c>
      <c r="Q411" s="1">
        <v>1</v>
      </c>
      <c r="R411" s="1">
        <v>1</v>
      </c>
      <c r="S411" s="1">
        <v>1</v>
      </c>
      <c r="T411" s="1">
        <v>4</v>
      </c>
      <c r="U411" s="2">
        <f>IF(SUMIFS(StandardName[RankValueInTheRanking],StandardName[StandardizedName],THE_Webometrics[[#This Row],[Nazwa uczelni]],StandardName[Ranking],$U$1)=0,$N$3,SUMIFS(StandardName[RankValueInTheRanking],StandardName[StandardizedName],THE_Webometrics[[#This Row],[Nazwa uczelni]],StandardName[Ranking],$U$1))</f>
        <v>36</v>
      </c>
      <c r="V411" s="2">
        <f>IF(SUMIFS(StandardName[RankValueInTheRanking],StandardName[StandardizedName],THE_Webometrics[[#This Row],[Nazwa uczelni]],StandardName[Ranking],$V$1)=0,$N$3,SUMIFS(StandardName[RankValueInTheRanking],StandardName[StandardizedName],THE_Webometrics[[#This Row],[Nazwa uczelni]],StandardName[Ranking],$V$1))</f>
        <v>88</v>
      </c>
      <c r="W411" s="2">
        <f>IF(SUMIFS(StandardName[RankValueInTheRanking],StandardName[StandardizedName],THE_Webometrics[[#This Row],[Nazwa uczelni]],StandardName[Ranking],$W$1)=0,$N$3,SUMIFS(StandardName[RankValueInTheRanking],StandardName[StandardizedName],THE_Webometrics[[#This Row],[Nazwa uczelni]],StandardName[Ranking],$W$1))</f>
        <v>19</v>
      </c>
      <c r="X411" s="2">
        <f>IF(SUMIFS(StandardName[RankValueInTheRanking],StandardName[StandardizedName],THE_Webometrics[[#This Row],[Nazwa uczelni]],StandardName[Ranking],$X$1)=0,$N$3,SUMIFS(StandardName[RankValueInTheRanking],StandardName[StandardizedName],THE_Webometrics[[#This Row],[Nazwa uczelni]],StandardName[Ranking],$X$1))</f>
        <v>87</v>
      </c>
      <c r="Y411" s="2">
        <f>SUM(THE_Webometrics[[#This Row],[THE_RV1000]:[Webometrics_RV1000]])</f>
        <v>230</v>
      </c>
      <c r="Z411" s="1">
        <v>36</v>
      </c>
      <c r="AA411" s="1">
        <v>88</v>
      </c>
      <c r="AB411" s="1">
        <v>19</v>
      </c>
      <c r="AC411" s="1">
        <v>87</v>
      </c>
    </row>
    <row r="412" spans="9:29" outlineLevel="1" x14ac:dyDescent="0.45">
      <c r="I412" s="1" t="s">
        <v>831</v>
      </c>
      <c r="O412" s="2" t="s">
        <v>245</v>
      </c>
      <c r="P412" s="2">
        <v>1</v>
      </c>
      <c r="Q412" s="2">
        <v>1</v>
      </c>
      <c r="R412" s="2">
        <v>1</v>
      </c>
      <c r="S412" s="2">
        <v>1</v>
      </c>
      <c r="T412" s="2">
        <v>4</v>
      </c>
      <c r="U412" s="2">
        <f>IF(SUMIFS(StandardName[RankValueInTheRanking],StandardName[StandardizedName],THE_Webometrics[[#This Row],[Nazwa uczelni]],StandardName[Ranking],$U$1)=0,$N$3,SUMIFS(StandardName[RankValueInTheRanking],StandardName[StandardizedName],THE_Webometrics[[#This Row],[Nazwa uczelni]],StandardName[Ranking],$U$1))</f>
        <v>44</v>
      </c>
      <c r="V412" s="2">
        <f>IF(SUMIFS(StandardName[RankValueInTheRanking],StandardName[StandardizedName],THE_Webometrics[[#This Row],[Nazwa uczelni]],StandardName[Ranking],$V$1)=0,$N$3,SUMIFS(StandardName[RankValueInTheRanking],StandardName[StandardizedName],THE_Webometrics[[#This Row],[Nazwa uczelni]],StandardName[Ranking],$V$1))</f>
        <v>75</v>
      </c>
      <c r="W412" s="2">
        <f>IF(SUMIFS(StandardName[RankValueInTheRanking],StandardName[StandardizedName],THE_Webometrics[[#This Row],[Nazwa uczelni]],StandardName[Ranking],$W$1)=0,$N$3,SUMIFS(StandardName[RankValueInTheRanking],StandardName[StandardizedName],THE_Webometrics[[#This Row],[Nazwa uczelni]],StandardName[Ranking],$W$1))</f>
        <v>57</v>
      </c>
      <c r="X412" s="2">
        <f>IF(SUMIFS(StandardName[RankValueInTheRanking],StandardName[StandardizedName],THE_Webometrics[[#This Row],[Nazwa uczelni]],StandardName[Ranking],$X$1)=0,$N$3,SUMIFS(StandardName[RankValueInTheRanking],StandardName[StandardizedName],THE_Webometrics[[#This Row],[Nazwa uczelni]],StandardName[Ranking],$X$1))</f>
        <v>57</v>
      </c>
      <c r="Y412" s="2">
        <f>SUM(THE_Webometrics[[#This Row],[THE_RV1000]:[Webometrics_RV1000]])</f>
        <v>233</v>
      </c>
      <c r="Z412" s="2">
        <v>44</v>
      </c>
      <c r="AA412" s="2">
        <v>75</v>
      </c>
      <c r="AB412" s="2">
        <v>57</v>
      </c>
      <c r="AC412" s="2">
        <v>57</v>
      </c>
    </row>
    <row r="413" spans="9:29" outlineLevel="1" x14ac:dyDescent="0.45">
      <c r="I413" s="2" t="s">
        <v>381</v>
      </c>
      <c r="O413" s="1" t="s">
        <v>337</v>
      </c>
      <c r="P413" s="1">
        <v>1</v>
      </c>
      <c r="Q413" s="1">
        <v>1</v>
      </c>
      <c r="R413" s="1">
        <v>1</v>
      </c>
      <c r="S413" s="1">
        <v>1</v>
      </c>
      <c r="T413" s="1">
        <v>4</v>
      </c>
      <c r="U413" s="2">
        <f>IF(SUMIFS(StandardName[RankValueInTheRanking],StandardName[StandardizedName],THE_Webometrics[[#This Row],[Nazwa uczelni]],StandardName[Ranking],$U$1)=0,$N$3,SUMIFS(StandardName[RankValueInTheRanking],StandardName[StandardizedName],THE_Webometrics[[#This Row],[Nazwa uczelni]],StandardName[Ranking],$U$1))</f>
        <v>62</v>
      </c>
      <c r="V413" s="2">
        <f>IF(SUMIFS(StandardName[RankValueInTheRanking],StandardName[StandardizedName],THE_Webometrics[[#This Row],[Nazwa uczelni]],StandardName[Ranking],$V$1)=0,$N$3,SUMIFS(StandardName[RankValueInTheRanking],StandardName[StandardizedName],THE_Webometrics[[#This Row],[Nazwa uczelni]],StandardName[Ranking],$V$1))</f>
        <v>79</v>
      </c>
      <c r="W413" s="2">
        <f>IF(SUMIFS(StandardName[RankValueInTheRanking],StandardName[StandardizedName],THE_Webometrics[[#This Row],[Nazwa uczelni]],StandardName[Ranking],$W$1)=0,$N$3,SUMIFS(StandardName[RankValueInTheRanking],StandardName[StandardizedName],THE_Webometrics[[#This Row],[Nazwa uczelni]],StandardName[Ranking],$W$1))</f>
        <v>30</v>
      </c>
      <c r="X413" s="2">
        <f>IF(SUMIFS(StandardName[RankValueInTheRanking],StandardName[StandardizedName],THE_Webometrics[[#This Row],[Nazwa uczelni]],StandardName[Ranking],$X$1)=0,$N$3,SUMIFS(StandardName[RankValueInTheRanking],StandardName[StandardizedName],THE_Webometrics[[#This Row],[Nazwa uczelni]],StandardName[Ranking],$X$1))</f>
        <v>79</v>
      </c>
      <c r="Y413" s="2">
        <f>SUM(THE_Webometrics[[#This Row],[THE_RV1000]:[Webometrics_RV1000]])</f>
        <v>250</v>
      </c>
      <c r="Z413" s="1">
        <v>62</v>
      </c>
      <c r="AA413" s="1">
        <v>79</v>
      </c>
      <c r="AB413" s="1">
        <v>30</v>
      </c>
      <c r="AC413" s="1">
        <v>79</v>
      </c>
    </row>
    <row r="414" spans="9:29" outlineLevel="1" x14ac:dyDescent="0.45">
      <c r="I414" s="1" t="s">
        <v>250</v>
      </c>
      <c r="O414" s="2" t="s">
        <v>306</v>
      </c>
      <c r="P414" s="2">
        <v>1</v>
      </c>
      <c r="Q414" s="2">
        <v>1</v>
      </c>
      <c r="R414" s="2">
        <v>1</v>
      </c>
      <c r="S414" s="2">
        <v>1</v>
      </c>
      <c r="T414" s="2">
        <v>4</v>
      </c>
      <c r="U414" s="2">
        <f>IF(SUMIFS(StandardName[RankValueInTheRanking],StandardName[StandardizedName],THE_Webometrics[[#This Row],[Nazwa uczelni]],StandardName[Ranking],$U$1)=0,$N$3,SUMIFS(StandardName[RankValueInTheRanking],StandardName[StandardizedName],THE_Webometrics[[#This Row],[Nazwa uczelni]],StandardName[Ranking],$U$1))</f>
        <v>56</v>
      </c>
      <c r="V414" s="2">
        <f>IF(SUMIFS(StandardName[RankValueInTheRanking],StandardName[StandardizedName],THE_Webometrics[[#This Row],[Nazwa uczelni]],StandardName[Ranking],$V$1)=0,$N$3,SUMIFS(StandardName[RankValueInTheRanking],StandardName[StandardizedName],THE_Webometrics[[#This Row],[Nazwa uczelni]],StandardName[Ranking],$V$1))</f>
        <v>98</v>
      </c>
      <c r="W414" s="2">
        <f>IF(SUMIFS(StandardName[RankValueInTheRanking],StandardName[StandardizedName],THE_Webometrics[[#This Row],[Nazwa uczelni]],StandardName[Ranking],$W$1)=0,$N$3,SUMIFS(StandardName[RankValueInTheRanking],StandardName[StandardizedName],THE_Webometrics[[#This Row],[Nazwa uczelni]],StandardName[Ranking],$W$1))</f>
        <v>29</v>
      </c>
      <c r="X414" s="2">
        <f>IF(SUMIFS(StandardName[RankValueInTheRanking],StandardName[StandardizedName],THE_Webometrics[[#This Row],[Nazwa uczelni]],StandardName[Ranking],$X$1)=0,$N$3,SUMIFS(StandardName[RankValueInTheRanking],StandardName[StandardizedName],THE_Webometrics[[#This Row],[Nazwa uczelni]],StandardName[Ranking],$X$1))</f>
        <v>96</v>
      </c>
      <c r="Y414" s="2">
        <f>SUM(THE_Webometrics[[#This Row],[THE_RV1000]:[Webometrics_RV1000]])</f>
        <v>279</v>
      </c>
      <c r="Z414" s="2">
        <v>56</v>
      </c>
      <c r="AA414" s="2">
        <v>98</v>
      </c>
      <c r="AB414" s="2">
        <v>29</v>
      </c>
      <c r="AC414" s="2">
        <v>96</v>
      </c>
    </row>
    <row r="415" spans="9:29" outlineLevel="1" x14ac:dyDescent="0.45">
      <c r="I415" s="1" t="s">
        <v>474</v>
      </c>
      <c r="O415" s="1" t="s">
        <v>332</v>
      </c>
      <c r="P415" s="1">
        <v>1</v>
      </c>
      <c r="Q415" s="1">
        <v>1</v>
      </c>
      <c r="R415" s="1">
        <v>1</v>
      </c>
      <c r="S415" s="1">
        <v>1</v>
      </c>
      <c r="T415" s="1">
        <v>4</v>
      </c>
      <c r="U415" s="2">
        <f>IF(SUMIFS(StandardName[RankValueInTheRanking],StandardName[StandardizedName],THE_Webometrics[[#This Row],[Nazwa uczelni]],StandardName[Ranking],$U$1)=0,$N$3,SUMIFS(StandardName[RankValueInTheRanking],StandardName[StandardizedName],THE_Webometrics[[#This Row],[Nazwa uczelni]],StandardName[Ranking],$U$1))</f>
        <v>61</v>
      </c>
      <c r="V415" s="2">
        <f>IF(SUMIFS(StandardName[RankValueInTheRanking],StandardName[StandardizedName],THE_Webometrics[[#This Row],[Nazwa uczelni]],StandardName[Ranking],$V$1)=0,$N$3,SUMIFS(StandardName[RankValueInTheRanking],StandardName[StandardizedName],THE_Webometrics[[#This Row],[Nazwa uczelni]],StandardName[Ranking],$V$1))</f>
        <v>99</v>
      </c>
      <c r="W415" s="2">
        <f>IF(SUMIFS(StandardName[RankValueInTheRanking],StandardName[StandardizedName],THE_Webometrics[[#This Row],[Nazwa uczelni]],StandardName[Ranking],$W$1)=0,$N$3,SUMIFS(StandardName[RankValueInTheRanking],StandardName[StandardizedName],THE_Webometrics[[#This Row],[Nazwa uczelni]],StandardName[Ranking],$W$1))</f>
        <v>63</v>
      </c>
      <c r="X415" s="2">
        <f>IF(SUMIFS(StandardName[RankValueInTheRanking],StandardName[StandardizedName],THE_Webometrics[[#This Row],[Nazwa uczelni]],StandardName[Ranking],$X$1)=0,$N$3,SUMIFS(StandardName[RankValueInTheRanking],StandardName[StandardizedName],THE_Webometrics[[#This Row],[Nazwa uczelni]],StandardName[Ranking],$X$1))</f>
        <v>80</v>
      </c>
      <c r="Y415" s="2">
        <f>SUM(THE_Webometrics[[#This Row],[THE_RV1000]:[Webometrics_RV1000]])</f>
        <v>303</v>
      </c>
      <c r="Z415" s="1">
        <v>61</v>
      </c>
      <c r="AA415" s="1">
        <v>99</v>
      </c>
      <c r="AB415" s="1">
        <v>63</v>
      </c>
      <c r="AC415" s="1">
        <v>80</v>
      </c>
    </row>
    <row r="416" spans="9:29" outlineLevel="1" x14ac:dyDescent="0.45">
      <c r="I416" s="2" t="s">
        <v>61</v>
      </c>
      <c r="O416" s="2" t="s">
        <v>425</v>
      </c>
      <c r="P416" s="2">
        <v>1</v>
      </c>
      <c r="Q416" s="2">
        <v>1</v>
      </c>
      <c r="R416" s="2">
        <v>1</v>
      </c>
      <c r="S416" s="2">
        <v>1</v>
      </c>
      <c r="T416" s="2">
        <v>4</v>
      </c>
      <c r="U416" s="2">
        <f>IF(SUMIFS(StandardName[RankValueInTheRanking],StandardName[StandardizedName],THE_Webometrics[[#This Row],[Nazwa uczelni]],StandardName[Ranking],$U$1)=0,$N$3,SUMIFS(StandardName[RankValueInTheRanking],StandardName[StandardizedName],THE_Webometrics[[#This Row],[Nazwa uczelni]],StandardName[Ranking],$U$1))</f>
        <v>82</v>
      </c>
      <c r="V416" s="2">
        <f>IF(SUMIFS(StandardName[RankValueInTheRanking],StandardName[StandardizedName],THE_Webometrics[[#This Row],[Nazwa uczelni]],StandardName[Ranking],$V$1)=0,$N$3,SUMIFS(StandardName[RankValueInTheRanking],StandardName[StandardizedName],THE_Webometrics[[#This Row],[Nazwa uczelni]],StandardName[Ranking],$V$1))</f>
        <v>59</v>
      </c>
      <c r="W416" s="2">
        <f>IF(SUMIFS(StandardName[RankValueInTheRanking],StandardName[StandardizedName],THE_Webometrics[[#This Row],[Nazwa uczelni]],StandardName[Ranking],$W$1)=0,$N$3,SUMIFS(StandardName[RankValueInTheRanking],StandardName[StandardizedName],THE_Webometrics[[#This Row],[Nazwa uczelni]],StandardName[Ranking],$W$1))</f>
        <v>83</v>
      </c>
      <c r="X416" s="2">
        <f>IF(SUMIFS(StandardName[RankValueInTheRanking],StandardName[StandardizedName],THE_Webometrics[[#This Row],[Nazwa uczelni]],StandardName[Ranking],$X$1)=0,$N$3,SUMIFS(StandardName[RankValueInTheRanking],StandardName[StandardizedName],THE_Webometrics[[#This Row],[Nazwa uczelni]],StandardName[Ranking],$X$1))</f>
        <v>92</v>
      </c>
      <c r="Y416" s="2">
        <f>SUM(THE_Webometrics[[#This Row],[THE_RV1000]:[Webometrics_RV1000]])</f>
        <v>316</v>
      </c>
      <c r="Z416" s="2">
        <v>82</v>
      </c>
      <c r="AA416" s="2">
        <v>59</v>
      </c>
      <c r="AB416" s="2">
        <v>83</v>
      </c>
      <c r="AC416" s="2">
        <v>92</v>
      </c>
    </row>
    <row r="417" spans="9:29" outlineLevel="1" x14ac:dyDescent="0.45">
      <c r="I417" s="2" t="s">
        <v>118</v>
      </c>
      <c r="O417" s="1" t="s">
        <v>385</v>
      </c>
      <c r="P417" s="1">
        <v>1</v>
      </c>
      <c r="Q417" s="1">
        <v>1</v>
      </c>
      <c r="R417" s="1">
        <v>1</v>
      </c>
      <c r="S417" s="1">
        <v>1</v>
      </c>
      <c r="T417" s="1">
        <v>4</v>
      </c>
      <c r="U417" s="2">
        <f>IF(SUMIFS(StandardName[RankValueInTheRanking],StandardName[StandardizedName],THE_Webometrics[[#This Row],[Nazwa uczelni]],StandardName[Ranking],$U$1)=0,$N$3,SUMIFS(StandardName[RankValueInTheRanking],StandardName[StandardizedName],THE_Webometrics[[#This Row],[Nazwa uczelni]],StandardName[Ranking],$U$1))</f>
        <v>74</v>
      </c>
      <c r="V417" s="2">
        <f>IF(SUMIFS(StandardName[RankValueInTheRanking],StandardName[StandardizedName],THE_Webometrics[[#This Row],[Nazwa uczelni]],StandardName[Ranking],$V$1)=0,$N$3,SUMIFS(StandardName[RankValueInTheRanking],StandardName[StandardizedName],THE_Webometrics[[#This Row],[Nazwa uczelni]],StandardName[Ranking],$V$1))</f>
        <v>62</v>
      </c>
      <c r="W417" s="2">
        <f>IF(SUMIFS(StandardName[RankValueInTheRanking],StandardName[StandardizedName],THE_Webometrics[[#This Row],[Nazwa uczelni]],StandardName[Ranking],$W$1)=0,$N$3,SUMIFS(StandardName[RankValueInTheRanking],StandardName[StandardizedName],THE_Webometrics[[#This Row],[Nazwa uczelni]],StandardName[Ranking],$W$1))</f>
        <v>94</v>
      </c>
      <c r="X417" s="2">
        <f>IF(SUMIFS(StandardName[RankValueInTheRanking],StandardName[StandardizedName],THE_Webometrics[[#This Row],[Nazwa uczelni]],StandardName[Ranking],$X$1)=0,$N$3,SUMIFS(StandardName[RankValueInTheRanking],StandardName[StandardizedName],THE_Webometrics[[#This Row],[Nazwa uczelni]],StandardName[Ranking],$X$1))</f>
        <v>95</v>
      </c>
      <c r="Y417" s="2">
        <f>SUM(THE_Webometrics[[#This Row],[THE_RV1000]:[Webometrics_RV1000]])</f>
        <v>325</v>
      </c>
      <c r="Z417" s="1">
        <v>74</v>
      </c>
      <c r="AA417" s="1">
        <v>62</v>
      </c>
      <c r="AB417" s="1">
        <v>94</v>
      </c>
      <c r="AC417" s="1">
        <v>95</v>
      </c>
    </row>
    <row r="418" spans="9:29" outlineLevel="1" x14ac:dyDescent="0.45">
      <c r="I418" s="2" t="s">
        <v>369</v>
      </c>
      <c r="O418" s="2" t="s">
        <v>313</v>
      </c>
      <c r="P418" s="2">
        <v>1</v>
      </c>
      <c r="Q418" s="2">
        <v>1</v>
      </c>
      <c r="R418" s="2">
        <v>0</v>
      </c>
      <c r="S418" s="2">
        <v>1</v>
      </c>
      <c r="T418" s="2">
        <v>3</v>
      </c>
      <c r="U418" s="2">
        <f>IF(SUMIFS(StandardName[RankValueInTheRanking],StandardName[StandardizedName],THE_Webometrics[[#This Row],[Nazwa uczelni]],StandardName[Ranking],$U$1)=0,$N$3,SUMIFS(StandardName[RankValueInTheRanking],StandardName[StandardizedName],THE_Webometrics[[#This Row],[Nazwa uczelni]],StandardName[Ranking],$U$1))</f>
        <v>57</v>
      </c>
      <c r="V418" s="2">
        <f>IF(SUMIFS(StandardName[RankValueInTheRanking],StandardName[StandardizedName],THE_Webometrics[[#This Row],[Nazwa uczelni]],StandardName[Ranking],$V$1)=0,$N$3,SUMIFS(StandardName[RankValueInTheRanking],StandardName[StandardizedName],THE_Webometrics[[#This Row],[Nazwa uczelni]],StandardName[Ranking],$V$1))</f>
        <v>27</v>
      </c>
      <c r="W418" s="2">
        <f>IF(SUMIFS(StandardName[RankValueInTheRanking],StandardName[StandardizedName],THE_Webometrics[[#This Row],[Nazwa uczelni]],StandardName[Ranking],$W$1)=0,$N$3,SUMIFS(StandardName[RankValueInTheRanking],StandardName[StandardizedName],THE_Webometrics[[#This Row],[Nazwa uczelni]],StandardName[Ranking],$W$1))</f>
        <v>250</v>
      </c>
      <c r="X418" s="2">
        <f>IF(SUMIFS(StandardName[RankValueInTheRanking],StandardName[StandardizedName],THE_Webometrics[[#This Row],[Nazwa uczelni]],StandardName[Ranking],$X$1)=0,$N$3,SUMIFS(StandardName[RankValueInTheRanking],StandardName[StandardizedName],THE_Webometrics[[#This Row],[Nazwa uczelni]],StandardName[Ranking],$X$1))</f>
        <v>42</v>
      </c>
      <c r="Y418" s="2">
        <f>SUM(THE_Webometrics[[#This Row],[THE_RV1000]:[Webometrics_RV1000]])</f>
        <v>376</v>
      </c>
      <c r="Z418" s="2">
        <v>57</v>
      </c>
      <c r="AA418" s="2">
        <v>27</v>
      </c>
      <c r="AB418" s="2">
        <v>0</v>
      </c>
      <c r="AC418" s="2">
        <v>42</v>
      </c>
    </row>
    <row r="419" spans="9:29" outlineLevel="1" x14ac:dyDescent="0.45">
      <c r="I419" s="1" t="s">
        <v>145</v>
      </c>
      <c r="O419" s="1" t="s">
        <v>366</v>
      </c>
      <c r="P419" s="1">
        <v>1</v>
      </c>
      <c r="Q419" s="1">
        <v>1</v>
      </c>
      <c r="R419" s="1">
        <v>0</v>
      </c>
      <c r="S419" s="1">
        <v>1</v>
      </c>
      <c r="T419" s="1">
        <v>3</v>
      </c>
      <c r="U419" s="2">
        <f>IF(SUMIFS(StandardName[RankValueInTheRanking],StandardName[StandardizedName],THE_Webometrics[[#This Row],[Nazwa uczelni]],StandardName[Ranking],$U$1)=0,$N$3,SUMIFS(StandardName[RankValueInTheRanking],StandardName[StandardizedName],THE_Webometrics[[#This Row],[Nazwa uczelni]],StandardName[Ranking],$U$1))</f>
        <v>69</v>
      </c>
      <c r="V419" s="2">
        <f>IF(SUMIFS(StandardName[RankValueInTheRanking],StandardName[StandardizedName],THE_Webometrics[[#This Row],[Nazwa uczelni]],StandardName[Ranking],$V$1)=0,$N$3,SUMIFS(StandardName[RankValueInTheRanking],StandardName[StandardizedName],THE_Webometrics[[#This Row],[Nazwa uczelni]],StandardName[Ranking],$V$1))</f>
        <v>29</v>
      </c>
      <c r="W419" s="2">
        <f>IF(SUMIFS(StandardName[RankValueInTheRanking],StandardName[StandardizedName],THE_Webometrics[[#This Row],[Nazwa uczelni]],StandardName[Ranking],$W$1)=0,$N$3,SUMIFS(StandardName[RankValueInTheRanking],StandardName[StandardizedName],THE_Webometrics[[#This Row],[Nazwa uczelni]],StandardName[Ranking],$W$1))</f>
        <v>250</v>
      </c>
      <c r="X419" s="2">
        <f>IF(SUMIFS(StandardName[RankValueInTheRanking],StandardName[StandardizedName],THE_Webometrics[[#This Row],[Nazwa uczelni]],StandardName[Ranking],$X$1)=0,$N$3,SUMIFS(StandardName[RankValueInTheRanking],StandardName[StandardizedName],THE_Webometrics[[#This Row],[Nazwa uczelni]],StandardName[Ranking],$X$1))</f>
        <v>28</v>
      </c>
      <c r="Y419" s="2">
        <f>SUM(THE_Webometrics[[#This Row],[THE_RV1000]:[Webometrics_RV1000]])</f>
        <v>376</v>
      </c>
      <c r="Z419" s="1">
        <v>69</v>
      </c>
      <c r="AA419" s="1">
        <v>29</v>
      </c>
      <c r="AB419" s="1">
        <v>0</v>
      </c>
      <c r="AC419" s="1">
        <v>28</v>
      </c>
    </row>
    <row r="420" spans="9:29" outlineLevel="1" x14ac:dyDescent="0.45">
      <c r="I420" s="1" t="s">
        <v>763</v>
      </c>
      <c r="O420" s="2" t="s">
        <v>162</v>
      </c>
      <c r="P420" s="2">
        <v>1</v>
      </c>
      <c r="Q420" s="2">
        <v>0</v>
      </c>
      <c r="R420" s="2">
        <v>1</v>
      </c>
      <c r="S420" s="2">
        <v>1</v>
      </c>
      <c r="T420" s="2">
        <v>3</v>
      </c>
      <c r="U420" s="2">
        <f>IF(SUMIFS(StandardName[RankValueInTheRanking],StandardName[StandardizedName],THE_Webometrics[[#This Row],[Nazwa uczelni]],StandardName[Ranking],$U$1)=0,$N$3,SUMIFS(StandardName[RankValueInTheRanking],StandardName[StandardizedName],THE_Webometrics[[#This Row],[Nazwa uczelni]],StandardName[Ranking],$U$1))</f>
        <v>28</v>
      </c>
      <c r="V420" s="2">
        <f>IF(SUMIFS(StandardName[RankValueInTheRanking],StandardName[StandardizedName],THE_Webometrics[[#This Row],[Nazwa uczelni]],StandardName[Ranking],$V$1)=0,$N$3,SUMIFS(StandardName[RankValueInTheRanking],StandardName[StandardizedName],THE_Webometrics[[#This Row],[Nazwa uczelni]],StandardName[Ranking],$V$1))</f>
        <v>250</v>
      </c>
      <c r="W420" s="2">
        <f>IF(SUMIFS(StandardName[RankValueInTheRanking],StandardName[StandardizedName],THE_Webometrics[[#This Row],[Nazwa uczelni]],StandardName[Ranking],$W$1)=0,$N$3,SUMIFS(StandardName[RankValueInTheRanking],StandardName[StandardizedName],THE_Webometrics[[#This Row],[Nazwa uczelni]],StandardName[Ranking],$W$1))</f>
        <v>52</v>
      </c>
      <c r="X420" s="2">
        <f>IF(SUMIFS(StandardName[RankValueInTheRanking],StandardName[StandardizedName],THE_Webometrics[[#This Row],[Nazwa uczelni]],StandardName[Ranking],$X$1)=0,$N$3,SUMIFS(StandardName[RankValueInTheRanking],StandardName[StandardizedName],THE_Webometrics[[#This Row],[Nazwa uczelni]],StandardName[Ranking],$X$1))</f>
        <v>49</v>
      </c>
      <c r="Y420" s="2">
        <f>SUM(THE_Webometrics[[#This Row],[THE_RV1000]:[Webometrics_RV1000]])</f>
        <v>379</v>
      </c>
      <c r="Z420" s="2">
        <v>28</v>
      </c>
      <c r="AA420" s="2">
        <v>0</v>
      </c>
      <c r="AB420" s="2">
        <v>52</v>
      </c>
      <c r="AC420" s="2">
        <v>49</v>
      </c>
    </row>
    <row r="421" spans="9:29" outlineLevel="1" x14ac:dyDescent="0.45">
      <c r="I421" s="2" t="s">
        <v>230</v>
      </c>
      <c r="O421" s="1" t="s">
        <v>230</v>
      </c>
      <c r="P421" s="1">
        <v>1</v>
      </c>
      <c r="Q421" s="1">
        <v>0</v>
      </c>
      <c r="R421" s="1">
        <v>1</v>
      </c>
      <c r="S421" s="1">
        <v>1</v>
      </c>
      <c r="T421" s="1">
        <v>3</v>
      </c>
      <c r="U421" s="2">
        <f>IF(SUMIFS(StandardName[RankValueInTheRanking],StandardName[StandardizedName],THE_Webometrics[[#This Row],[Nazwa uczelni]],StandardName[Ranking],$U$1)=0,$N$3,SUMIFS(StandardName[RankValueInTheRanking],StandardName[StandardizedName],THE_Webometrics[[#This Row],[Nazwa uczelni]],StandardName[Ranking],$U$1))</f>
        <v>41</v>
      </c>
      <c r="V421" s="2">
        <f>IF(SUMIFS(StandardName[RankValueInTheRanking],StandardName[StandardizedName],THE_Webometrics[[#This Row],[Nazwa uczelni]],StandardName[Ranking],$V$1)=0,$N$3,SUMIFS(StandardName[RankValueInTheRanking],StandardName[StandardizedName],THE_Webometrics[[#This Row],[Nazwa uczelni]],StandardName[Ranking],$V$1))</f>
        <v>250</v>
      </c>
      <c r="W421" s="2">
        <f>IF(SUMIFS(StandardName[RankValueInTheRanking],StandardName[StandardizedName],THE_Webometrics[[#This Row],[Nazwa uczelni]],StandardName[Ranking],$W$1)=0,$N$3,SUMIFS(StandardName[RankValueInTheRanking],StandardName[StandardizedName],THE_Webometrics[[#This Row],[Nazwa uczelni]],StandardName[Ranking],$W$1))</f>
        <v>16</v>
      </c>
      <c r="X421" s="2">
        <f>IF(SUMIFS(StandardName[RankValueInTheRanking],StandardName[StandardizedName],THE_Webometrics[[#This Row],[Nazwa uczelni]],StandardName[Ranking],$X$1)=0,$N$3,SUMIFS(StandardName[RankValueInTheRanking],StandardName[StandardizedName],THE_Webometrics[[#This Row],[Nazwa uczelni]],StandardName[Ranking],$X$1))</f>
        <v>90</v>
      </c>
      <c r="Y421" s="2">
        <f>SUM(THE_Webometrics[[#This Row],[THE_RV1000]:[Webometrics_RV1000]])</f>
        <v>397</v>
      </c>
      <c r="Z421" s="1">
        <v>41</v>
      </c>
      <c r="AA421" s="1">
        <v>0</v>
      </c>
      <c r="AB421" s="1">
        <v>16</v>
      </c>
      <c r="AC421" s="1">
        <v>90</v>
      </c>
    </row>
    <row r="422" spans="9:29" outlineLevel="1" x14ac:dyDescent="0.45">
      <c r="I422" s="2" t="s">
        <v>67</v>
      </c>
      <c r="O422" s="2" t="s">
        <v>347</v>
      </c>
      <c r="P422" s="2">
        <v>1</v>
      </c>
      <c r="Q422" s="2">
        <v>1</v>
      </c>
      <c r="R422" s="2">
        <v>0</v>
      </c>
      <c r="S422" s="2">
        <v>1</v>
      </c>
      <c r="T422" s="2">
        <v>3</v>
      </c>
      <c r="U422" s="2">
        <f>IF(SUMIFS(StandardName[RankValueInTheRanking],StandardName[StandardizedName],THE_Webometrics[[#This Row],[Nazwa uczelni]],StandardName[Ranking],$U$1)=0,$N$3,SUMIFS(StandardName[RankValueInTheRanking],StandardName[StandardizedName],THE_Webometrics[[#This Row],[Nazwa uczelni]],StandardName[Ranking],$U$1))</f>
        <v>65</v>
      </c>
      <c r="V422" s="2">
        <f>IF(SUMIFS(StandardName[RankValueInTheRanking],StandardName[StandardizedName],THE_Webometrics[[#This Row],[Nazwa uczelni]],StandardName[Ranking],$V$1)=0,$N$3,SUMIFS(StandardName[RankValueInTheRanking],StandardName[StandardizedName],THE_Webometrics[[#This Row],[Nazwa uczelni]],StandardName[Ranking],$V$1))</f>
        <v>53</v>
      </c>
      <c r="W422" s="2">
        <f>IF(SUMIFS(StandardName[RankValueInTheRanking],StandardName[StandardizedName],THE_Webometrics[[#This Row],[Nazwa uczelni]],StandardName[Ranking],$W$1)=0,$N$3,SUMIFS(StandardName[RankValueInTheRanking],StandardName[StandardizedName],THE_Webometrics[[#This Row],[Nazwa uczelni]],StandardName[Ranking],$W$1))</f>
        <v>250</v>
      </c>
      <c r="X422" s="2">
        <f>IF(SUMIFS(StandardName[RankValueInTheRanking],StandardName[StandardizedName],THE_Webometrics[[#This Row],[Nazwa uczelni]],StandardName[Ranking],$X$1)=0,$N$3,SUMIFS(StandardName[RankValueInTheRanking],StandardName[StandardizedName],THE_Webometrics[[#This Row],[Nazwa uczelni]],StandardName[Ranking],$X$1))</f>
        <v>31</v>
      </c>
      <c r="Y422" s="2">
        <f>SUM(THE_Webometrics[[#This Row],[THE_RV1000]:[Webometrics_RV1000]])</f>
        <v>399</v>
      </c>
      <c r="Z422" s="2">
        <v>65</v>
      </c>
      <c r="AA422" s="2">
        <v>53</v>
      </c>
      <c r="AB422" s="2">
        <v>0</v>
      </c>
      <c r="AC422" s="2">
        <v>31</v>
      </c>
    </row>
    <row r="423" spans="9:29" outlineLevel="1" x14ac:dyDescent="0.45">
      <c r="I423" s="1" t="s">
        <v>416</v>
      </c>
      <c r="O423" s="1" t="s">
        <v>250</v>
      </c>
      <c r="P423" s="1">
        <v>1</v>
      </c>
      <c r="Q423" s="1">
        <v>0</v>
      </c>
      <c r="R423" s="1">
        <v>1</v>
      </c>
      <c r="S423" s="1">
        <v>1</v>
      </c>
      <c r="T423" s="1">
        <v>3</v>
      </c>
      <c r="U423" s="2">
        <f>IF(SUMIFS(StandardName[RankValueInTheRanking],StandardName[StandardizedName],THE_Webometrics[[#This Row],[Nazwa uczelni]],StandardName[Ranking],$U$1)=0,$N$3,SUMIFS(StandardName[RankValueInTheRanking],StandardName[StandardizedName],THE_Webometrics[[#This Row],[Nazwa uczelni]],StandardName[Ranking],$U$1))</f>
        <v>45</v>
      </c>
      <c r="V423" s="2">
        <f>IF(SUMIFS(StandardName[RankValueInTheRanking],StandardName[StandardizedName],THE_Webometrics[[#This Row],[Nazwa uczelni]],StandardName[Ranking],$V$1)=0,$N$3,SUMIFS(StandardName[RankValueInTheRanking],StandardName[StandardizedName],THE_Webometrics[[#This Row],[Nazwa uczelni]],StandardName[Ranking],$V$1))</f>
        <v>250</v>
      </c>
      <c r="W423" s="2">
        <f>IF(SUMIFS(StandardName[RankValueInTheRanking],StandardName[StandardizedName],THE_Webometrics[[#This Row],[Nazwa uczelni]],StandardName[Ranking],$W$1)=0,$N$3,SUMIFS(StandardName[RankValueInTheRanking],StandardName[StandardizedName],THE_Webometrics[[#This Row],[Nazwa uczelni]],StandardName[Ranking],$W$1))</f>
        <v>38</v>
      </c>
      <c r="X423" s="2">
        <f>IF(SUMIFS(StandardName[RankValueInTheRanking],StandardName[StandardizedName],THE_Webometrics[[#This Row],[Nazwa uczelni]],StandardName[Ranking],$X$1)=0,$N$3,SUMIFS(StandardName[RankValueInTheRanking],StandardName[StandardizedName],THE_Webometrics[[#This Row],[Nazwa uczelni]],StandardName[Ranking],$X$1))</f>
        <v>81</v>
      </c>
      <c r="Y423" s="2">
        <f>SUM(THE_Webometrics[[#This Row],[THE_RV1000]:[Webometrics_RV1000]])</f>
        <v>414</v>
      </c>
      <c r="Z423" s="1">
        <v>45</v>
      </c>
      <c r="AA423" s="1">
        <v>0</v>
      </c>
      <c r="AB423" s="1">
        <v>38</v>
      </c>
      <c r="AC423" s="1">
        <v>81</v>
      </c>
    </row>
    <row r="424" spans="9:29" outlineLevel="1" x14ac:dyDescent="0.45">
      <c r="I424" s="2" t="s">
        <v>408</v>
      </c>
      <c r="O424" s="2" t="s">
        <v>352</v>
      </c>
      <c r="P424" s="2">
        <v>1</v>
      </c>
      <c r="Q424" s="2">
        <v>1</v>
      </c>
      <c r="R424" s="2">
        <v>0</v>
      </c>
      <c r="S424" s="2">
        <v>1</v>
      </c>
      <c r="T424" s="2">
        <v>3</v>
      </c>
      <c r="U424" s="2">
        <f>IF(SUMIFS(StandardName[RankValueInTheRanking],StandardName[StandardizedName],THE_Webometrics[[#This Row],[Nazwa uczelni]],StandardName[Ranking],$U$1)=0,$N$3,SUMIFS(StandardName[RankValueInTheRanking],StandardName[StandardizedName],THE_Webometrics[[#This Row],[Nazwa uczelni]],StandardName[Ranking],$U$1))</f>
        <v>66</v>
      </c>
      <c r="V424" s="2">
        <f>IF(SUMIFS(StandardName[RankValueInTheRanking],StandardName[StandardizedName],THE_Webometrics[[#This Row],[Nazwa uczelni]],StandardName[Ranking],$V$1)=0,$N$3,SUMIFS(StandardName[RankValueInTheRanking],StandardName[StandardizedName],THE_Webometrics[[#This Row],[Nazwa uczelni]],StandardName[Ranking],$V$1))</f>
        <v>54</v>
      </c>
      <c r="W424" s="2">
        <f>IF(SUMIFS(StandardName[RankValueInTheRanking],StandardName[StandardizedName],THE_Webometrics[[#This Row],[Nazwa uczelni]],StandardName[Ranking],$W$1)=0,$N$3,SUMIFS(StandardName[RankValueInTheRanking],StandardName[StandardizedName],THE_Webometrics[[#This Row],[Nazwa uczelni]],StandardName[Ranking],$W$1))</f>
        <v>250</v>
      </c>
      <c r="X424" s="2">
        <f>IF(SUMIFS(StandardName[RankValueInTheRanking],StandardName[StandardizedName],THE_Webometrics[[#This Row],[Nazwa uczelni]],StandardName[Ranking],$X$1)=0,$N$3,SUMIFS(StandardName[RankValueInTheRanking],StandardName[StandardizedName],THE_Webometrics[[#This Row],[Nazwa uczelni]],StandardName[Ranking],$X$1))</f>
        <v>65</v>
      </c>
      <c r="Y424" s="2">
        <f>SUM(THE_Webometrics[[#This Row],[THE_RV1000]:[Webometrics_RV1000]])</f>
        <v>435</v>
      </c>
      <c r="Z424" s="2">
        <v>66</v>
      </c>
      <c r="AA424" s="2">
        <v>54</v>
      </c>
      <c r="AB424" s="2">
        <v>0</v>
      </c>
      <c r="AC424" s="2">
        <v>65</v>
      </c>
    </row>
    <row r="425" spans="9:29" outlineLevel="1" x14ac:dyDescent="0.45">
      <c r="I425" s="1" t="s">
        <v>451</v>
      </c>
      <c r="O425" s="1" t="s">
        <v>216</v>
      </c>
      <c r="P425" s="1">
        <v>1</v>
      </c>
      <c r="Q425" s="1">
        <v>0</v>
      </c>
      <c r="R425" s="1">
        <v>1</v>
      </c>
      <c r="S425" s="1">
        <v>1</v>
      </c>
      <c r="T425" s="1">
        <v>3</v>
      </c>
      <c r="U425" s="2">
        <f>IF(SUMIFS(StandardName[RankValueInTheRanking],StandardName[StandardizedName],THE_Webometrics[[#This Row],[Nazwa uczelni]],StandardName[Ranking],$U$1)=0,$N$3,SUMIFS(StandardName[RankValueInTheRanking],StandardName[StandardizedName],THE_Webometrics[[#This Row],[Nazwa uczelni]],StandardName[Ranking],$U$1))</f>
        <v>38</v>
      </c>
      <c r="V425" s="2">
        <f>IF(SUMIFS(StandardName[RankValueInTheRanking],StandardName[StandardizedName],THE_Webometrics[[#This Row],[Nazwa uczelni]],StandardName[Ranking],$V$1)=0,$N$3,SUMIFS(StandardName[RankValueInTheRanking],StandardName[StandardizedName],THE_Webometrics[[#This Row],[Nazwa uczelni]],StandardName[Ranking],$V$1))</f>
        <v>250</v>
      </c>
      <c r="W425" s="2">
        <f>IF(SUMIFS(StandardName[RankValueInTheRanking],StandardName[StandardizedName],THE_Webometrics[[#This Row],[Nazwa uczelni]],StandardName[Ranking],$W$1)=0,$N$3,SUMIFS(StandardName[RankValueInTheRanking],StandardName[StandardizedName],THE_Webometrics[[#This Row],[Nazwa uczelni]],StandardName[Ranking],$W$1))</f>
        <v>88</v>
      </c>
      <c r="X425" s="2">
        <f>IF(SUMIFS(StandardName[RankValueInTheRanking],StandardName[StandardizedName],THE_Webometrics[[#This Row],[Nazwa uczelni]],StandardName[Ranking],$X$1)=0,$N$3,SUMIFS(StandardName[RankValueInTheRanking],StandardName[StandardizedName],THE_Webometrics[[#This Row],[Nazwa uczelni]],StandardName[Ranking],$X$1))</f>
        <v>62</v>
      </c>
      <c r="Y425" s="2">
        <f>SUM(THE_Webometrics[[#This Row],[THE_RV1000]:[Webometrics_RV1000]])</f>
        <v>438</v>
      </c>
      <c r="Z425" s="1">
        <v>38</v>
      </c>
      <c r="AA425" s="1">
        <v>0</v>
      </c>
      <c r="AB425" s="1">
        <v>88</v>
      </c>
      <c r="AC425" s="1">
        <v>62</v>
      </c>
    </row>
    <row r="426" spans="9:29" outlineLevel="1" x14ac:dyDescent="0.45">
      <c r="I426" s="2" t="s">
        <v>282</v>
      </c>
      <c r="O426" s="2" t="s">
        <v>326</v>
      </c>
      <c r="P426" s="2">
        <v>1</v>
      </c>
      <c r="Q426" s="2">
        <v>0</v>
      </c>
      <c r="R426" s="2">
        <v>1</v>
      </c>
      <c r="S426" s="2">
        <v>1</v>
      </c>
      <c r="T426" s="2">
        <v>3</v>
      </c>
      <c r="U426" s="2">
        <f>IF(SUMIFS(StandardName[RankValueInTheRanking],StandardName[StandardizedName],THE_Webometrics[[#This Row],[Nazwa uczelni]],StandardName[Ranking],$U$1)=0,$N$3,SUMIFS(StandardName[RankValueInTheRanking],StandardName[StandardizedName],THE_Webometrics[[#This Row],[Nazwa uczelni]],StandardName[Ranking],$U$1))</f>
        <v>60</v>
      </c>
      <c r="V426" s="2">
        <f>IF(SUMIFS(StandardName[RankValueInTheRanking],StandardName[StandardizedName],THE_Webometrics[[#This Row],[Nazwa uczelni]],StandardName[Ranking],$V$1)=0,$N$3,SUMIFS(StandardName[RankValueInTheRanking],StandardName[StandardizedName],THE_Webometrics[[#This Row],[Nazwa uczelni]],StandardName[Ranking],$V$1))</f>
        <v>250</v>
      </c>
      <c r="W426" s="2">
        <f>IF(SUMIFS(StandardName[RankValueInTheRanking],StandardName[StandardizedName],THE_Webometrics[[#This Row],[Nazwa uczelni]],StandardName[Ranking],$W$1)=0,$N$3,SUMIFS(StandardName[RankValueInTheRanking],StandardName[StandardizedName],THE_Webometrics[[#This Row],[Nazwa uczelni]],StandardName[Ranking],$W$1))</f>
        <v>58</v>
      </c>
      <c r="X426" s="2">
        <f>IF(SUMIFS(StandardName[RankValueInTheRanking],StandardName[StandardizedName],THE_Webometrics[[#This Row],[Nazwa uczelni]],StandardName[Ranking],$X$1)=0,$N$3,SUMIFS(StandardName[RankValueInTheRanking],StandardName[StandardizedName],THE_Webometrics[[#This Row],[Nazwa uczelni]],StandardName[Ranking],$X$1))</f>
        <v>73</v>
      </c>
      <c r="Y426" s="2">
        <f>SUM(THE_Webometrics[[#This Row],[THE_RV1000]:[Webometrics_RV1000]])</f>
        <v>441</v>
      </c>
      <c r="Z426" s="2">
        <v>60</v>
      </c>
      <c r="AA426" s="2">
        <v>0</v>
      </c>
      <c r="AB426" s="2">
        <v>58</v>
      </c>
      <c r="AC426" s="2">
        <v>73</v>
      </c>
    </row>
    <row r="427" spans="9:29" outlineLevel="1" x14ac:dyDescent="0.45">
      <c r="I427" s="1" t="s">
        <v>216</v>
      </c>
      <c r="O427" s="1" t="s">
        <v>808</v>
      </c>
      <c r="P427" s="1">
        <v>1</v>
      </c>
      <c r="Q427" s="1">
        <v>1</v>
      </c>
      <c r="R427" s="1">
        <v>0</v>
      </c>
      <c r="S427" s="1">
        <v>1</v>
      </c>
      <c r="T427" s="1">
        <v>3</v>
      </c>
      <c r="U427" s="2">
        <f>IF(SUMIFS(StandardName[RankValueInTheRanking],StandardName[StandardizedName],THE_Webometrics[[#This Row],[Nazwa uczelni]],StandardName[Ranking],$U$1)=0,$N$3,SUMIFS(StandardName[RankValueInTheRanking],StandardName[StandardizedName],THE_Webometrics[[#This Row],[Nazwa uczelni]],StandardName[Ranking],$U$1))</f>
        <v>95</v>
      </c>
      <c r="V427" s="2">
        <f>IF(SUMIFS(StandardName[RankValueInTheRanking],StandardName[StandardizedName],THE_Webometrics[[#This Row],[Nazwa uczelni]],StandardName[Ranking],$V$1)=0,$N$3,SUMIFS(StandardName[RankValueInTheRanking],StandardName[StandardizedName],THE_Webometrics[[#This Row],[Nazwa uczelni]],StandardName[Ranking],$V$1))</f>
        <v>61</v>
      </c>
      <c r="W427" s="2">
        <f>IF(SUMIFS(StandardName[RankValueInTheRanking],StandardName[StandardizedName],THE_Webometrics[[#This Row],[Nazwa uczelni]],StandardName[Ranking],$W$1)=0,$N$3,SUMIFS(StandardName[RankValueInTheRanking],StandardName[StandardizedName],THE_Webometrics[[#This Row],[Nazwa uczelni]],StandardName[Ranking],$W$1))</f>
        <v>250</v>
      </c>
      <c r="X427" s="2">
        <f>IF(SUMIFS(StandardName[RankValueInTheRanking],StandardName[StandardizedName],THE_Webometrics[[#This Row],[Nazwa uczelni]],StandardName[Ranking],$X$1)=0,$N$3,SUMIFS(StandardName[RankValueInTheRanking],StandardName[StandardizedName],THE_Webometrics[[#This Row],[Nazwa uczelni]],StandardName[Ranking],$X$1))</f>
        <v>38</v>
      </c>
      <c r="Y427" s="2">
        <f>SUM(THE_Webometrics[[#This Row],[THE_RV1000]:[Webometrics_RV1000]])</f>
        <v>444</v>
      </c>
      <c r="Z427" s="1">
        <v>95</v>
      </c>
      <c r="AA427" s="1">
        <v>61</v>
      </c>
      <c r="AB427" s="1">
        <v>0</v>
      </c>
      <c r="AC427" s="1">
        <v>38</v>
      </c>
    </row>
    <row r="428" spans="9:29" outlineLevel="1" x14ac:dyDescent="0.45">
      <c r="I428" s="2" t="s">
        <v>602</v>
      </c>
      <c r="O428" s="2" t="s">
        <v>829</v>
      </c>
      <c r="P428" s="2">
        <v>1</v>
      </c>
      <c r="Q428" s="2">
        <v>1</v>
      </c>
      <c r="R428" s="2">
        <v>0</v>
      </c>
      <c r="S428" s="2">
        <v>1</v>
      </c>
      <c r="T428" s="2">
        <v>3</v>
      </c>
      <c r="U428" s="2">
        <f>IF(SUMIFS(StandardName[RankValueInTheRanking],StandardName[StandardizedName],THE_Webometrics[[#This Row],[Nazwa uczelni]],StandardName[Ranking],$U$1)=0,$N$3,SUMIFS(StandardName[RankValueInTheRanking],StandardName[StandardizedName],THE_Webometrics[[#This Row],[Nazwa uczelni]],StandardName[Ranking],$U$1))</f>
        <v>64</v>
      </c>
      <c r="V428" s="2">
        <f>IF(SUMIFS(StandardName[RankValueInTheRanking],StandardName[StandardizedName],THE_Webometrics[[#This Row],[Nazwa uczelni]],StandardName[Ranking],$V$1)=0,$N$3,SUMIFS(StandardName[RankValueInTheRanking],StandardName[StandardizedName],THE_Webometrics[[#This Row],[Nazwa uczelni]],StandardName[Ranking],$V$1))</f>
        <v>57</v>
      </c>
      <c r="W428" s="2">
        <f>IF(SUMIFS(StandardName[RankValueInTheRanking],StandardName[StandardizedName],THE_Webometrics[[#This Row],[Nazwa uczelni]],StandardName[Ranking],$W$1)=0,$N$3,SUMIFS(StandardName[RankValueInTheRanking],StandardName[StandardizedName],THE_Webometrics[[#This Row],[Nazwa uczelni]],StandardName[Ranking],$W$1))</f>
        <v>250</v>
      </c>
      <c r="X428" s="2">
        <f>IF(SUMIFS(StandardName[RankValueInTheRanking],StandardName[StandardizedName],THE_Webometrics[[#This Row],[Nazwa uczelni]],StandardName[Ranking],$X$1)=0,$N$3,SUMIFS(StandardName[RankValueInTheRanking],StandardName[StandardizedName],THE_Webometrics[[#This Row],[Nazwa uczelni]],StandardName[Ranking],$X$1))</f>
        <v>76</v>
      </c>
      <c r="Y428" s="2">
        <f>SUM(THE_Webometrics[[#This Row],[THE_RV1000]:[Webometrics_RV1000]])</f>
        <v>447</v>
      </c>
      <c r="Z428" s="2">
        <v>64</v>
      </c>
      <c r="AA428" s="2">
        <v>57</v>
      </c>
      <c r="AB428" s="2">
        <v>0</v>
      </c>
      <c r="AC428" s="2">
        <v>76</v>
      </c>
    </row>
    <row r="429" spans="9:29" outlineLevel="1" x14ac:dyDescent="0.45">
      <c r="I429" s="1" t="s">
        <v>8</v>
      </c>
      <c r="O429" s="1" t="s">
        <v>471</v>
      </c>
      <c r="P429" s="1">
        <v>1</v>
      </c>
      <c r="Q429" s="1">
        <v>1</v>
      </c>
      <c r="R429" s="1">
        <v>0</v>
      </c>
      <c r="S429" s="1">
        <v>1</v>
      </c>
      <c r="T429" s="1">
        <v>3</v>
      </c>
      <c r="U429" s="2">
        <f>IF(SUMIFS(StandardName[RankValueInTheRanking],StandardName[StandardizedName],THE_Webometrics[[#This Row],[Nazwa uczelni]],StandardName[Ranking],$U$1)=0,$N$3,SUMIFS(StandardName[RankValueInTheRanking],StandardName[StandardizedName],THE_Webometrics[[#This Row],[Nazwa uczelni]],StandardName[Ranking],$U$1))</f>
        <v>98</v>
      </c>
      <c r="V429" s="2">
        <f>IF(SUMIFS(StandardName[RankValueInTheRanking],StandardName[StandardizedName],THE_Webometrics[[#This Row],[Nazwa uczelni]],StandardName[Ranking],$V$1)=0,$N$3,SUMIFS(StandardName[RankValueInTheRanking],StandardName[StandardizedName],THE_Webometrics[[#This Row],[Nazwa uczelni]],StandardName[Ranking],$V$1))</f>
        <v>64</v>
      </c>
      <c r="W429" s="2">
        <f>IF(SUMIFS(StandardName[RankValueInTheRanking],StandardName[StandardizedName],THE_Webometrics[[#This Row],[Nazwa uczelni]],StandardName[Ranking],$W$1)=0,$N$3,SUMIFS(StandardName[RankValueInTheRanking],StandardName[StandardizedName],THE_Webometrics[[#This Row],[Nazwa uczelni]],StandardName[Ranking],$W$1))</f>
        <v>250</v>
      </c>
      <c r="X429" s="2">
        <f>IF(SUMIFS(StandardName[RankValueInTheRanking],StandardName[StandardizedName],THE_Webometrics[[#This Row],[Nazwa uczelni]],StandardName[Ranking],$X$1)=0,$N$3,SUMIFS(StandardName[RankValueInTheRanking],StandardName[StandardizedName],THE_Webometrics[[#This Row],[Nazwa uczelni]],StandardName[Ranking],$X$1))</f>
        <v>58</v>
      </c>
      <c r="Y429" s="2">
        <f>SUM(THE_Webometrics[[#This Row],[THE_RV1000]:[Webometrics_RV1000]])</f>
        <v>470</v>
      </c>
      <c r="Z429" s="1">
        <v>98</v>
      </c>
      <c r="AA429" s="1">
        <v>64</v>
      </c>
      <c r="AB429" s="1">
        <v>0</v>
      </c>
      <c r="AC429" s="1">
        <v>58</v>
      </c>
    </row>
    <row r="430" spans="9:29" outlineLevel="1" x14ac:dyDescent="0.45">
      <c r="I430" s="1" t="s">
        <v>600</v>
      </c>
      <c r="O430" s="2" t="s">
        <v>369</v>
      </c>
      <c r="P430" s="2">
        <v>1</v>
      </c>
      <c r="Q430" s="2">
        <v>0</v>
      </c>
      <c r="R430" s="2">
        <v>1</v>
      </c>
      <c r="S430" s="2">
        <v>1</v>
      </c>
      <c r="T430" s="2">
        <v>3</v>
      </c>
      <c r="U430" s="2">
        <f>IF(SUMIFS(StandardName[RankValueInTheRanking],StandardName[StandardizedName],THE_Webometrics[[#This Row],[Nazwa uczelni]],StandardName[Ranking],$U$1)=0,$N$3,SUMIFS(StandardName[RankValueInTheRanking],StandardName[StandardizedName],THE_Webometrics[[#This Row],[Nazwa uczelni]],StandardName[Ranking],$U$1))</f>
        <v>70</v>
      </c>
      <c r="V430" s="2">
        <f>IF(SUMIFS(StandardName[RankValueInTheRanking],StandardName[StandardizedName],THE_Webometrics[[#This Row],[Nazwa uczelni]],StandardName[Ranking],$V$1)=0,$N$3,SUMIFS(StandardName[RankValueInTheRanking],StandardName[StandardizedName],THE_Webometrics[[#This Row],[Nazwa uczelni]],StandardName[Ranking],$V$1))</f>
        <v>250</v>
      </c>
      <c r="W430" s="2">
        <f>IF(SUMIFS(StandardName[RankValueInTheRanking],StandardName[StandardizedName],THE_Webometrics[[#This Row],[Nazwa uczelni]],StandardName[Ranking],$W$1)=0,$N$3,SUMIFS(StandardName[RankValueInTheRanking],StandardName[StandardizedName],THE_Webometrics[[#This Row],[Nazwa uczelni]],StandardName[Ranking],$W$1))</f>
        <v>61</v>
      </c>
      <c r="X430" s="2">
        <f>IF(SUMIFS(StandardName[RankValueInTheRanking],StandardName[StandardizedName],THE_Webometrics[[#This Row],[Nazwa uczelni]],StandardName[Ranking],$X$1)=0,$N$3,SUMIFS(StandardName[RankValueInTheRanking],StandardName[StandardizedName],THE_Webometrics[[#This Row],[Nazwa uczelni]],StandardName[Ranking],$X$1))</f>
        <v>94</v>
      </c>
      <c r="Y430" s="2">
        <f>SUM(THE_Webometrics[[#This Row],[THE_RV1000]:[Webometrics_RV1000]])</f>
        <v>475</v>
      </c>
      <c r="Z430" s="2">
        <v>70</v>
      </c>
      <c r="AA430" s="2">
        <v>0</v>
      </c>
      <c r="AB430" s="2">
        <v>61</v>
      </c>
      <c r="AC430" s="2">
        <v>94</v>
      </c>
    </row>
    <row r="431" spans="9:29" outlineLevel="1" x14ac:dyDescent="0.45">
      <c r="I431" s="2" t="s">
        <v>403</v>
      </c>
      <c r="O431" s="1" t="s">
        <v>388</v>
      </c>
      <c r="P431" s="1">
        <v>1</v>
      </c>
      <c r="Q431" s="1">
        <v>1</v>
      </c>
      <c r="R431" s="1">
        <v>0</v>
      </c>
      <c r="S431" s="1">
        <v>1</v>
      </c>
      <c r="T431" s="1">
        <v>3</v>
      </c>
      <c r="U431" s="2">
        <f>IF(SUMIFS(StandardName[RankValueInTheRanking],StandardName[StandardizedName],THE_Webometrics[[#This Row],[Nazwa uczelni]],StandardName[Ranking],$U$1)=0,$N$3,SUMIFS(StandardName[RankValueInTheRanking],StandardName[StandardizedName],THE_Webometrics[[#This Row],[Nazwa uczelni]],StandardName[Ranking],$U$1))</f>
        <v>75</v>
      </c>
      <c r="V431" s="2">
        <f>IF(SUMIFS(StandardName[RankValueInTheRanking],StandardName[StandardizedName],THE_Webometrics[[#This Row],[Nazwa uczelni]],StandardName[Ranking],$V$1)=0,$N$3,SUMIFS(StandardName[RankValueInTheRanking],StandardName[StandardizedName],THE_Webometrics[[#This Row],[Nazwa uczelni]],StandardName[Ranking],$V$1))</f>
        <v>66</v>
      </c>
      <c r="W431" s="2">
        <f>IF(SUMIFS(StandardName[RankValueInTheRanking],StandardName[StandardizedName],THE_Webometrics[[#This Row],[Nazwa uczelni]],StandardName[Ranking],$W$1)=0,$N$3,SUMIFS(StandardName[RankValueInTheRanking],StandardName[StandardizedName],THE_Webometrics[[#This Row],[Nazwa uczelni]],StandardName[Ranking],$W$1))</f>
        <v>250</v>
      </c>
      <c r="X431" s="2">
        <f>IF(SUMIFS(StandardName[RankValueInTheRanking],StandardName[StandardizedName],THE_Webometrics[[#This Row],[Nazwa uczelni]],StandardName[Ranking],$X$1)=0,$N$3,SUMIFS(StandardName[RankValueInTheRanking],StandardName[StandardizedName],THE_Webometrics[[#This Row],[Nazwa uczelni]],StandardName[Ranking],$X$1))</f>
        <v>84</v>
      </c>
      <c r="Y431" s="2">
        <f>SUM(THE_Webometrics[[#This Row],[THE_RV1000]:[Webometrics_RV1000]])</f>
        <v>475</v>
      </c>
      <c r="Z431" s="1">
        <v>75</v>
      </c>
      <c r="AA431" s="1">
        <v>66</v>
      </c>
      <c r="AB431" s="1">
        <v>0</v>
      </c>
      <c r="AC431" s="1">
        <v>84</v>
      </c>
    </row>
    <row r="432" spans="9:29" outlineLevel="1" x14ac:dyDescent="0.45">
      <c r="I432" s="1" t="s">
        <v>620</v>
      </c>
      <c r="O432" s="2" t="s">
        <v>474</v>
      </c>
      <c r="P432" s="2">
        <v>1</v>
      </c>
      <c r="Q432" s="2">
        <v>0</v>
      </c>
      <c r="R432" s="2">
        <v>1</v>
      </c>
      <c r="S432" s="2">
        <v>1</v>
      </c>
      <c r="T432" s="2">
        <v>3</v>
      </c>
      <c r="U432" s="2">
        <f>IF(SUMIFS(StandardName[RankValueInTheRanking],StandardName[StandardizedName],THE_Webometrics[[#This Row],[Nazwa uczelni]],StandardName[Ranking],$U$1)=0,$N$3,SUMIFS(StandardName[RankValueInTheRanking],StandardName[StandardizedName],THE_Webometrics[[#This Row],[Nazwa uczelni]],StandardName[Ranking],$U$1))</f>
        <v>99</v>
      </c>
      <c r="V432" s="2">
        <f>IF(SUMIFS(StandardName[RankValueInTheRanking],StandardName[StandardizedName],THE_Webometrics[[#This Row],[Nazwa uczelni]],StandardName[Ranking],$V$1)=0,$N$3,SUMIFS(StandardName[RankValueInTheRanking],StandardName[StandardizedName],THE_Webometrics[[#This Row],[Nazwa uczelni]],StandardName[Ranking],$V$1))</f>
        <v>250</v>
      </c>
      <c r="W432" s="2">
        <f>IF(SUMIFS(StandardName[RankValueInTheRanking],StandardName[StandardizedName],THE_Webometrics[[#This Row],[Nazwa uczelni]],StandardName[Ranking],$W$1)=0,$N$3,SUMIFS(StandardName[RankValueInTheRanking],StandardName[StandardizedName],THE_Webometrics[[#This Row],[Nazwa uczelni]],StandardName[Ranking],$W$1))</f>
        <v>54</v>
      </c>
      <c r="X432" s="2">
        <f>IF(SUMIFS(StandardName[RankValueInTheRanking],StandardName[StandardizedName],THE_Webometrics[[#This Row],[Nazwa uczelni]],StandardName[Ranking],$X$1)=0,$N$3,SUMIFS(StandardName[RankValueInTheRanking],StandardName[StandardizedName],THE_Webometrics[[#This Row],[Nazwa uczelni]],StandardName[Ranking],$X$1))</f>
        <v>89</v>
      </c>
      <c r="Y432" s="2">
        <f>SUM(THE_Webometrics[[#This Row],[THE_RV1000]:[Webometrics_RV1000]])</f>
        <v>492</v>
      </c>
      <c r="Z432" s="2">
        <v>99</v>
      </c>
      <c r="AA432" s="2">
        <v>0</v>
      </c>
      <c r="AB432" s="2">
        <v>54</v>
      </c>
      <c r="AC432" s="2">
        <v>89</v>
      </c>
    </row>
    <row r="433" spans="9:30" outlineLevel="1" x14ac:dyDescent="0.45">
      <c r="I433" s="2" t="s">
        <v>434</v>
      </c>
      <c r="O433" s="1" t="s">
        <v>807</v>
      </c>
      <c r="P433" s="1">
        <v>1</v>
      </c>
      <c r="Q433" s="1">
        <v>0</v>
      </c>
      <c r="R433" s="1">
        <v>0</v>
      </c>
      <c r="S433" s="1">
        <v>1</v>
      </c>
      <c r="T433" s="1">
        <v>2</v>
      </c>
      <c r="U433" s="2">
        <f>IF(SUMIFS(StandardName[RankValueInTheRanking],StandardName[StandardizedName],THE_Webometrics[[#This Row],[Nazwa uczelni]],StandardName[Ranking],$U$1)=0,$N$3,SUMIFS(StandardName[RankValueInTheRanking],StandardName[StandardizedName],THE_Webometrics[[#This Row],[Nazwa uczelni]],StandardName[Ranking],$U$1))</f>
        <v>63</v>
      </c>
      <c r="V433" s="2">
        <f>IF(SUMIFS(StandardName[RankValueInTheRanking],StandardName[StandardizedName],THE_Webometrics[[#This Row],[Nazwa uczelni]],StandardName[Ranking],$V$1)=0,$N$3,SUMIFS(StandardName[RankValueInTheRanking],StandardName[StandardizedName],THE_Webometrics[[#This Row],[Nazwa uczelni]],StandardName[Ranking],$V$1))</f>
        <v>250</v>
      </c>
      <c r="W433" s="2">
        <f>IF(SUMIFS(StandardName[RankValueInTheRanking],StandardName[StandardizedName],THE_Webometrics[[#This Row],[Nazwa uczelni]],StandardName[Ranking],$W$1)=0,$N$3,SUMIFS(StandardName[RankValueInTheRanking],StandardName[StandardizedName],THE_Webometrics[[#This Row],[Nazwa uczelni]],StandardName[Ranking],$W$1))</f>
        <v>250</v>
      </c>
      <c r="X433" s="2">
        <f>IF(SUMIFS(StandardName[RankValueInTheRanking],StandardName[StandardizedName],THE_Webometrics[[#This Row],[Nazwa uczelni]],StandardName[Ranking],$X$1)=0,$N$3,SUMIFS(StandardName[RankValueInTheRanking],StandardName[StandardizedName],THE_Webometrics[[#This Row],[Nazwa uczelni]],StandardName[Ranking],$X$1))</f>
        <v>37</v>
      </c>
      <c r="Y433" s="2">
        <f>SUM(THE_Webometrics[[#This Row],[THE_RV1000]:[Webometrics_RV1000]])</f>
        <v>600</v>
      </c>
      <c r="Z433" s="1">
        <v>63</v>
      </c>
      <c r="AA433" s="1">
        <v>0</v>
      </c>
      <c r="AB433" s="1">
        <v>0</v>
      </c>
      <c r="AC433" s="1">
        <v>37</v>
      </c>
    </row>
    <row r="434" spans="9:30" outlineLevel="1" x14ac:dyDescent="0.45">
      <c r="I434" s="1" t="s">
        <v>54</v>
      </c>
      <c r="O434" s="2" t="s">
        <v>372</v>
      </c>
      <c r="P434" s="2">
        <v>1</v>
      </c>
      <c r="Q434" s="2">
        <v>0</v>
      </c>
      <c r="R434" s="2">
        <v>0</v>
      </c>
      <c r="S434" s="2">
        <v>1</v>
      </c>
      <c r="T434" s="2">
        <v>2</v>
      </c>
      <c r="U434" s="2">
        <f>IF(SUMIFS(StandardName[RankValueInTheRanking],StandardName[StandardizedName],THE_Webometrics[[#This Row],[Nazwa uczelni]],StandardName[Ranking],$U$1)=0,$N$3,SUMIFS(StandardName[RankValueInTheRanking],StandardName[StandardizedName],THE_Webometrics[[#This Row],[Nazwa uczelni]],StandardName[Ranking],$U$1))</f>
        <v>71</v>
      </c>
      <c r="V434" s="2">
        <f>IF(SUMIFS(StandardName[RankValueInTheRanking],StandardName[StandardizedName],THE_Webometrics[[#This Row],[Nazwa uczelni]],StandardName[Ranking],$V$1)=0,$N$3,SUMIFS(StandardName[RankValueInTheRanking],StandardName[StandardizedName],THE_Webometrics[[#This Row],[Nazwa uczelni]],StandardName[Ranking],$V$1))</f>
        <v>250</v>
      </c>
      <c r="W434" s="2">
        <f>IF(SUMIFS(StandardName[RankValueInTheRanking],StandardName[StandardizedName],THE_Webometrics[[#This Row],[Nazwa uczelni]],StandardName[Ranking],$W$1)=0,$N$3,SUMIFS(StandardName[RankValueInTheRanking],StandardName[StandardizedName],THE_Webometrics[[#This Row],[Nazwa uczelni]],StandardName[Ranking],$W$1))</f>
        <v>250</v>
      </c>
      <c r="X434" s="2">
        <f>IF(SUMIFS(StandardName[RankValueInTheRanking],StandardName[StandardizedName],THE_Webometrics[[#This Row],[Nazwa uczelni]],StandardName[Ranking],$X$1)=0,$N$3,SUMIFS(StandardName[RankValueInTheRanking],StandardName[StandardizedName],THE_Webometrics[[#This Row],[Nazwa uczelni]],StandardName[Ranking],$X$1))</f>
        <v>56</v>
      </c>
      <c r="Y434" s="2">
        <f>SUM(THE_Webometrics[[#This Row],[THE_RV1000]:[Webometrics_RV1000]])</f>
        <v>627</v>
      </c>
      <c r="Z434" s="2">
        <v>71</v>
      </c>
      <c r="AA434" s="2">
        <v>0</v>
      </c>
      <c r="AB434" s="2">
        <v>0</v>
      </c>
      <c r="AC434" s="2">
        <v>56</v>
      </c>
    </row>
    <row r="435" spans="9:30" outlineLevel="1" x14ac:dyDescent="0.45">
      <c r="I435" s="1" t="s">
        <v>844</v>
      </c>
      <c r="O435" s="1" t="s">
        <v>416</v>
      </c>
      <c r="P435" s="1">
        <v>1</v>
      </c>
      <c r="Q435" s="1">
        <v>0</v>
      </c>
      <c r="R435" s="1">
        <v>0</v>
      </c>
      <c r="S435" s="1">
        <v>1</v>
      </c>
      <c r="T435" s="1">
        <v>2</v>
      </c>
      <c r="U435" s="2">
        <f>IF(SUMIFS(StandardName[RankValueInTheRanking],StandardName[StandardizedName],THE_Webometrics[[#This Row],[Nazwa uczelni]],StandardName[Ranking],$U$1)=0,$N$3,SUMIFS(StandardName[RankValueInTheRanking],StandardName[StandardizedName],THE_Webometrics[[#This Row],[Nazwa uczelni]],StandardName[Ranking],$U$1))</f>
        <v>82</v>
      </c>
      <c r="V435" s="2">
        <f>IF(SUMIFS(StandardName[RankValueInTheRanking],StandardName[StandardizedName],THE_Webometrics[[#This Row],[Nazwa uczelni]],StandardName[Ranking],$V$1)=0,$N$3,SUMIFS(StandardName[RankValueInTheRanking],StandardName[StandardizedName],THE_Webometrics[[#This Row],[Nazwa uczelni]],StandardName[Ranking],$V$1))</f>
        <v>250</v>
      </c>
      <c r="W435" s="2">
        <f>IF(SUMIFS(StandardName[RankValueInTheRanking],StandardName[StandardizedName],THE_Webometrics[[#This Row],[Nazwa uczelni]],StandardName[Ranking],$W$1)=0,$N$3,SUMIFS(StandardName[RankValueInTheRanking],StandardName[StandardizedName],THE_Webometrics[[#This Row],[Nazwa uczelni]],StandardName[Ranking],$W$1))</f>
        <v>250</v>
      </c>
      <c r="X435" s="2">
        <f>IF(SUMIFS(StandardName[RankValueInTheRanking],StandardName[StandardizedName],THE_Webometrics[[#This Row],[Nazwa uczelni]],StandardName[Ranking],$X$1)=0,$N$3,SUMIFS(StandardName[RankValueInTheRanking],StandardName[StandardizedName],THE_Webometrics[[#This Row],[Nazwa uczelni]],StandardName[Ranking],$X$1))</f>
        <v>72</v>
      </c>
      <c r="Y435" s="2">
        <f>SUM(THE_Webometrics[[#This Row],[THE_RV1000]:[Webometrics_RV1000]])</f>
        <v>654</v>
      </c>
      <c r="Z435" s="1">
        <v>82</v>
      </c>
      <c r="AA435" s="1">
        <v>0</v>
      </c>
      <c r="AB435" s="1">
        <v>0</v>
      </c>
      <c r="AC435" s="1">
        <v>72</v>
      </c>
    </row>
    <row r="436" spans="9:30" outlineLevel="1" x14ac:dyDescent="0.45">
      <c r="I436" s="2" t="s">
        <v>466</v>
      </c>
      <c r="O436" s="11" t="s">
        <v>440</v>
      </c>
      <c r="P436" s="11">
        <v>1</v>
      </c>
      <c r="Q436" s="11">
        <v>0</v>
      </c>
      <c r="R436" s="11">
        <v>0</v>
      </c>
      <c r="S436" s="11">
        <v>1</v>
      </c>
      <c r="T436" s="11">
        <v>2</v>
      </c>
      <c r="U436" s="2">
        <f>IF(SUMIFS(StandardName[RankValueInTheRanking],StandardName[StandardizedName],THE_Webometrics[[#This Row],[Nazwa uczelni]],StandardName[Ranking],$U$1)=0,$N$3,SUMIFS(StandardName[RankValueInTheRanking],StandardName[StandardizedName],THE_Webometrics[[#This Row],[Nazwa uczelni]],StandardName[Ranking],$U$1))</f>
        <v>88</v>
      </c>
      <c r="V436" s="2">
        <f>IF(SUMIFS(StandardName[RankValueInTheRanking],StandardName[StandardizedName],THE_Webometrics[[#This Row],[Nazwa uczelni]],StandardName[Ranking],$V$1)=0,$N$3,SUMIFS(StandardName[RankValueInTheRanking],StandardName[StandardizedName],THE_Webometrics[[#This Row],[Nazwa uczelni]],StandardName[Ranking],$V$1))</f>
        <v>250</v>
      </c>
      <c r="W436" s="2">
        <f>IF(SUMIFS(StandardName[RankValueInTheRanking],StandardName[StandardizedName],THE_Webometrics[[#This Row],[Nazwa uczelni]],StandardName[Ranking],$W$1)=0,$N$3,SUMIFS(StandardName[RankValueInTheRanking],StandardName[StandardizedName],THE_Webometrics[[#This Row],[Nazwa uczelni]],StandardName[Ranking],$W$1))</f>
        <v>250</v>
      </c>
      <c r="X436" s="2">
        <f>IF(SUMIFS(StandardName[RankValueInTheRanking],StandardName[StandardizedName],THE_Webometrics[[#This Row],[Nazwa uczelni]],StandardName[Ranking],$X$1)=0,$N$3,SUMIFS(StandardName[RankValueInTheRanking],StandardName[StandardizedName],THE_Webometrics[[#This Row],[Nazwa uczelni]],StandardName[Ranking],$X$1))</f>
        <v>99</v>
      </c>
      <c r="Y436" s="2">
        <f>SUM(THE_Webometrics[[#This Row],[THE_RV1000]:[Webometrics_RV1000]])</f>
        <v>687</v>
      </c>
      <c r="Z436" s="11">
        <v>88</v>
      </c>
      <c r="AA436" s="11">
        <v>0</v>
      </c>
      <c r="AB436" s="11">
        <v>0</v>
      </c>
      <c r="AC436" s="11">
        <v>99</v>
      </c>
    </row>
    <row r="437" spans="9:30" x14ac:dyDescent="0.45">
      <c r="I437" s="2" t="s">
        <v>83</v>
      </c>
    </row>
    <row r="438" spans="9:30" x14ac:dyDescent="0.45">
      <c r="I438" s="2" t="s">
        <v>689</v>
      </c>
      <c r="O438" t="s">
        <v>884</v>
      </c>
    </row>
    <row r="439" spans="9:30" x14ac:dyDescent="0.45">
      <c r="I439" s="1" t="s">
        <v>270</v>
      </c>
      <c r="O439" s="7" t="s">
        <v>855</v>
      </c>
      <c r="P439" s="7" t="s">
        <v>846</v>
      </c>
      <c r="Q439" s="7" t="s">
        <v>848</v>
      </c>
      <c r="R439" s="7" t="s">
        <v>849</v>
      </c>
      <c r="S439" s="7" t="s">
        <v>850</v>
      </c>
      <c r="T439" s="7" t="s">
        <v>861</v>
      </c>
      <c r="U439" s="7" t="s">
        <v>875</v>
      </c>
      <c r="V439" s="7" t="s">
        <v>876</v>
      </c>
      <c r="W439" s="7" t="s">
        <v>877</v>
      </c>
      <c r="X439" s="7" t="s">
        <v>878</v>
      </c>
      <c r="Y439" s="7" t="s">
        <v>874</v>
      </c>
      <c r="Z439" s="7" t="s">
        <v>870</v>
      </c>
      <c r="AA439" s="7" t="s">
        <v>871</v>
      </c>
      <c r="AB439" s="7" t="s">
        <v>872</v>
      </c>
      <c r="AC439" s="7" t="s">
        <v>873</v>
      </c>
      <c r="AD439" s="7" t="s">
        <v>856</v>
      </c>
    </row>
    <row r="440" spans="9:30" outlineLevel="1" x14ac:dyDescent="0.45">
      <c r="I440" s="1" t="s">
        <v>199</v>
      </c>
      <c r="O440" s="1" t="s">
        <v>8</v>
      </c>
      <c r="P440" s="1">
        <v>1</v>
      </c>
      <c r="Q440" s="1">
        <v>1</v>
      </c>
      <c r="R440" s="1">
        <v>1</v>
      </c>
      <c r="S440" s="1">
        <v>1</v>
      </c>
      <c r="T440" s="1">
        <v>4</v>
      </c>
      <c r="U440" s="2">
        <f>IF(SUMIFS(StandardName[RankValueInTheRanking],StandardName[StandardizedName],ARWU_QS[[#This Row],[Nazwa uczelni]],StandardName[Ranking],$U$1)=0,$N$3,SUMIFS(StandardName[RankValueInTheRanking],StandardName[StandardizedName],ARWU_QS[[#This Row],[Nazwa uczelni]],StandardName[Ranking],$U$1))</f>
        <v>2</v>
      </c>
      <c r="V440" s="2">
        <f>IF(SUMIFS(StandardName[RankValueInTheRanking],StandardName[StandardizedName],ARWU_QS[[#This Row],[Nazwa uczelni]],StandardName[Ranking],$V$1)=0,$N$3,SUMIFS(StandardName[RankValueInTheRanking],StandardName[StandardizedName],ARWU_QS[[#This Row],[Nazwa uczelni]],StandardName[Ranking],$V$1))</f>
        <v>1</v>
      </c>
      <c r="W440" s="2">
        <f>IF(SUMIFS(StandardName[RankValueInTheRanking],StandardName[StandardizedName],ARWU_QS[[#This Row],[Nazwa uczelni]],StandardName[Ranking],$W$1)=0,$N$3,SUMIFS(StandardName[RankValueInTheRanking],StandardName[StandardizedName],ARWU_QS[[#This Row],[Nazwa uczelni]],StandardName[Ranking],$W$1))</f>
        <v>5</v>
      </c>
      <c r="X440" s="2">
        <f>IF(SUMIFS(StandardName[RankValueInTheRanking],StandardName[StandardizedName],ARWU_QS[[#This Row],[Nazwa uczelni]],StandardName[Ranking],$X$1)=0,$N$3,SUMIFS(StandardName[RankValueInTheRanking],StandardName[StandardizedName],ARWU_QS[[#This Row],[Nazwa uczelni]],StandardName[Ranking],$X$1))</f>
        <v>1</v>
      </c>
      <c r="Y440" s="2">
        <f>SUM(ARWU_QS[[#This Row],[THE_RV1000]:[Webometrics_RV1000]])</f>
        <v>9</v>
      </c>
      <c r="Z440" s="1">
        <v>2</v>
      </c>
      <c r="AA440" s="1">
        <v>1</v>
      </c>
      <c r="AB440" s="1">
        <v>5</v>
      </c>
      <c r="AC440" s="1">
        <v>1</v>
      </c>
      <c r="AD440" s="10">
        <v>2</v>
      </c>
    </row>
    <row r="441" spans="9:30" outlineLevel="1" x14ac:dyDescent="0.45">
      <c r="I441" s="2" t="s">
        <v>733</v>
      </c>
      <c r="O441" s="2" t="s">
        <v>21</v>
      </c>
      <c r="P441" s="2">
        <v>1</v>
      </c>
      <c r="Q441" s="2">
        <v>1</v>
      </c>
      <c r="R441" s="2">
        <v>1</v>
      </c>
      <c r="S441" s="2">
        <v>1</v>
      </c>
      <c r="T441" s="2">
        <v>4</v>
      </c>
      <c r="U441" s="2">
        <f>IF(SUMIFS(StandardName[RankValueInTheRanking],StandardName[StandardizedName],ARWU_QS[[#This Row],[Nazwa uczelni]],StandardName[Ranking],$U$1)=0,$N$3,SUMIFS(StandardName[RankValueInTheRanking],StandardName[StandardizedName],ARWU_QS[[#This Row],[Nazwa uczelni]],StandardName[Ranking],$U$1))</f>
        <v>3</v>
      </c>
      <c r="V441" s="2">
        <f>IF(SUMIFS(StandardName[RankValueInTheRanking],StandardName[StandardizedName],ARWU_QS[[#This Row],[Nazwa uczelni]],StandardName[Ranking],$V$1)=0,$N$3,SUMIFS(StandardName[RankValueInTheRanking],StandardName[StandardizedName],ARWU_QS[[#This Row],[Nazwa uczelni]],StandardName[Ranking],$V$1))</f>
        <v>2</v>
      </c>
      <c r="W441" s="2">
        <f>IF(SUMIFS(StandardName[RankValueInTheRanking],StandardName[StandardizedName],ARWU_QS[[#This Row],[Nazwa uczelni]],StandardName[Ranking],$W$1)=0,$N$3,SUMIFS(StandardName[RankValueInTheRanking],StandardName[StandardizedName],ARWU_QS[[#This Row],[Nazwa uczelni]],StandardName[Ranking],$W$1))</f>
        <v>3</v>
      </c>
      <c r="X441" s="2">
        <f>IF(SUMIFS(StandardName[RankValueInTheRanking],StandardName[StandardizedName],ARWU_QS[[#This Row],[Nazwa uczelni]],StandardName[Ranking],$X$1)=0,$N$3,SUMIFS(StandardName[RankValueInTheRanking],StandardName[StandardizedName],ARWU_QS[[#This Row],[Nazwa uczelni]],StandardName[Ranking],$X$1))</f>
        <v>2</v>
      </c>
      <c r="Y441" s="2">
        <f>SUM(ARWU_QS[[#This Row],[THE_RV1000]:[Webometrics_RV1000]])</f>
        <v>10</v>
      </c>
      <c r="Z441" s="2">
        <v>3</v>
      </c>
      <c r="AA441" s="2">
        <v>2</v>
      </c>
      <c r="AB441" s="2">
        <v>3</v>
      </c>
      <c r="AC441" s="2">
        <v>2</v>
      </c>
      <c r="AD441" s="2">
        <v>4</v>
      </c>
    </row>
    <row r="442" spans="9:30" outlineLevel="1" x14ac:dyDescent="0.45">
      <c r="I442" s="1" t="s">
        <v>756</v>
      </c>
      <c r="O442" s="1" t="s">
        <v>27</v>
      </c>
      <c r="P442" s="1">
        <v>1</v>
      </c>
      <c r="Q442" s="1">
        <v>1</v>
      </c>
      <c r="R442" s="1">
        <v>1</v>
      </c>
      <c r="S442" s="1">
        <v>1</v>
      </c>
      <c r="T442" s="1">
        <v>4</v>
      </c>
      <c r="U442" s="2">
        <f>IF(SUMIFS(StandardName[RankValueInTheRanking],StandardName[StandardizedName],ARWU_QS[[#This Row],[Nazwa uczelni]],StandardName[Ranking],$U$1)=0,$N$3,SUMIFS(StandardName[RankValueInTheRanking],StandardName[StandardizedName],ARWU_QS[[#This Row],[Nazwa uczelni]],StandardName[Ranking],$U$1))</f>
        <v>5</v>
      </c>
      <c r="V442" s="2">
        <f>IF(SUMIFS(StandardName[RankValueInTheRanking],StandardName[StandardizedName],ARWU_QS[[#This Row],[Nazwa uczelni]],StandardName[Ranking],$V$1)=0,$N$3,SUMIFS(StandardName[RankValueInTheRanking],StandardName[StandardizedName],ARWU_QS[[#This Row],[Nazwa uczelni]],StandardName[Ranking],$V$1))</f>
        <v>3</v>
      </c>
      <c r="W442" s="2">
        <f>IF(SUMIFS(StandardName[RankValueInTheRanking],StandardName[StandardizedName],ARWU_QS[[#This Row],[Nazwa uczelni]],StandardName[Ranking],$W$1)=0,$N$3,SUMIFS(StandardName[RankValueInTheRanking],StandardName[StandardizedName],ARWU_QS[[#This Row],[Nazwa uczelni]],StandardName[Ranking],$W$1))</f>
        <v>1</v>
      </c>
      <c r="X442" s="2">
        <f>IF(SUMIFS(StandardName[RankValueInTheRanking],StandardName[StandardizedName],ARWU_QS[[#This Row],[Nazwa uczelni]],StandardName[Ranking],$X$1)=0,$N$3,SUMIFS(StandardName[RankValueInTheRanking],StandardName[StandardizedName],ARWU_QS[[#This Row],[Nazwa uczelni]],StandardName[Ranking],$X$1))</f>
        <v>3</v>
      </c>
      <c r="Y442" s="2">
        <f>SUM(ARWU_QS[[#This Row],[THE_RV1000]:[Webometrics_RV1000]])</f>
        <v>12</v>
      </c>
      <c r="Z442" s="1">
        <v>5</v>
      </c>
      <c r="AA442" s="1">
        <v>3</v>
      </c>
      <c r="AB442" s="1">
        <v>1</v>
      </c>
      <c r="AC442" s="1">
        <v>3</v>
      </c>
      <c r="AD442" s="2">
        <v>5</v>
      </c>
    </row>
    <row r="443" spans="9:30" outlineLevel="1" x14ac:dyDescent="0.45">
      <c r="I443" s="2" t="s">
        <v>234</v>
      </c>
      <c r="O443" s="2" t="s">
        <v>0</v>
      </c>
      <c r="P443" s="2">
        <v>1</v>
      </c>
      <c r="Q443" s="2">
        <v>1</v>
      </c>
      <c r="R443" s="2">
        <v>1</v>
      </c>
      <c r="S443" s="2">
        <v>1</v>
      </c>
      <c r="T443" s="2">
        <v>4</v>
      </c>
      <c r="U443" s="2">
        <f>IF(SUMIFS(StandardName[RankValueInTheRanking],StandardName[StandardizedName],ARWU_QS[[#This Row],[Nazwa uczelni]],StandardName[Ranking],$U$1)=0,$N$3,SUMIFS(StandardName[RankValueInTheRanking],StandardName[StandardizedName],ARWU_QS[[#This Row],[Nazwa uczelni]],StandardName[Ranking],$U$1))</f>
        <v>1</v>
      </c>
      <c r="V443" s="2">
        <f>IF(SUMIFS(StandardName[RankValueInTheRanking],StandardName[StandardizedName],ARWU_QS[[#This Row],[Nazwa uczelni]],StandardName[Ranking],$V$1)=0,$N$3,SUMIFS(StandardName[RankValueInTheRanking],StandardName[StandardizedName],ARWU_QS[[#This Row],[Nazwa uczelni]],StandardName[Ranking],$V$1))</f>
        <v>7</v>
      </c>
      <c r="W443" s="2">
        <f>IF(SUMIFS(StandardName[RankValueInTheRanking],StandardName[StandardizedName],ARWU_QS[[#This Row],[Nazwa uczelni]],StandardName[Ranking],$W$1)=0,$N$3,SUMIFS(StandardName[RankValueInTheRanking],StandardName[StandardizedName],ARWU_QS[[#This Row],[Nazwa uczelni]],StandardName[Ranking],$W$1))</f>
        <v>4</v>
      </c>
      <c r="X443" s="2">
        <f>IF(SUMIFS(StandardName[RankValueInTheRanking],StandardName[StandardizedName],ARWU_QS[[#This Row],[Nazwa uczelni]],StandardName[Ranking],$X$1)=0,$N$3,SUMIFS(StandardName[RankValueInTheRanking],StandardName[StandardizedName],ARWU_QS[[#This Row],[Nazwa uczelni]],StandardName[Ranking],$X$1))</f>
        <v>5</v>
      </c>
      <c r="Y443" s="2">
        <f>SUM(ARWU_QS[[#This Row],[THE_RV1000]:[Webometrics_RV1000]])</f>
        <v>17</v>
      </c>
      <c r="Z443" s="2">
        <v>1</v>
      </c>
      <c r="AA443" s="2">
        <v>7</v>
      </c>
      <c r="AB443" s="2">
        <v>4</v>
      </c>
      <c r="AC443" s="2">
        <v>5</v>
      </c>
      <c r="AD443" s="2">
        <v>1</v>
      </c>
    </row>
    <row r="444" spans="9:30" outlineLevel="1" x14ac:dyDescent="0.45">
      <c r="I444" s="1" t="s">
        <v>360</v>
      </c>
      <c r="O444" s="1" t="s">
        <v>15</v>
      </c>
      <c r="P444" s="1">
        <v>1</v>
      </c>
      <c r="Q444" s="1">
        <v>1</v>
      </c>
      <c r="R444" s="1">
        <v>1</v>
      </c>
      <c r="S444" s="1">
        <v>1</v>
      </c>
      <c r="T444" s="1">
        <v>4</v>
      </c>
      <c r="U444" s="2">
        <f>IF(SUMIFS(StandardName[RankValueInTheRanking],StandardName[StandardizedName],ARWU_QS[[#This Row],[Nazwa uczelni]],StandardName[Ranking],$U$1)=0,$N$3,SUMIFS(StandardName[RankValueInTheRanking],StandardName[StandardizedName],ARWU_QS[[#This Row],[Nazwa uczelni]],StandardName[Ranking],$U$1))</f>
        <v>3</v>
      </c>
      <c r="V444" s="2">
        <f>IF(SUMIFS(StandardName[RankValueInTheRanking],StandardName[StandardizedName],ARWU_QS[[#This Row],[Nazwa uczelni]],StandardName[Ranking],$V$1)=0,$N$3,SUMIFS(StandardName[RankValueInTheRanking],StandardName[StandardizedName],ARWU_QS[[#This Row],[Nazwa uczelni]],StandardName[Ranking],$V$1))</f>
        <v>4</v>
      </c>
      <c r="W444" s="2">
        <f>IF(SUMIFS(StandardName[RankValueInTheRanking],StandardName[StandardizedName],ARWU_QS[[#This Row],[Nazwa uczelni]],StandardName[Ranking],$W$1)=0,$N$3,SUMIFS(StandardName[RankValueInTheRanking],StandardName[StandardizedName],ARWU_QS[[#This Row],[Nazwa uczelni]],StandardName[Ranking],$W$1))</f>
        <v>2</v>
      </c>
      <c r="X444" s="2">
        <f>IF(SUMIFS(StandardName[RankValueInTheRanking],StandardName[StandardizedName],ARWU_QS[[#This Row],[Nazwa uczelni]],StandardName[Ranking],$X$1)=0,$N$3,SUMIFS(StandardName[RankValueInTheRanking],StandardName[StandardizedName],ARWU_QS[[#This Row],[Nazwa uczelni]],StandardName[Ranking],$X$1))</f>
        <v>12</v>
      </c>
      <c r="Y444" s="2">
        <f>SUM(ARWU_QS[[#This Row],[THE_RV1000]:[Webometrics_RV1000]])</f>
        <v>21</v>
      </c>
      <c r="Z444" s="1">
        <v>3</v>
      </c>
      <c r="AA444" s="1">
        <v>4</v>
      </c>
      <c r="AB444" s="1">
        <v>2</v>
      </c>
      <c r="AC444" s="1">
        <v>12</v>
      </c>
      <c r="AD444" s="2">
        <v>3</v>
      </c>
    </row>
    <row r="445" spans="9:30" outlineLevel="1" x14ac:dyDescent="0.45">
      <c r="I445" s="2" t="s">
        <v>395</v>
      </c>
      <c r="O445" s="2" t="s">
        <v>792</v>
      </c>
      <c r="P445" s="2">
        <v>1</v>
      </c>
      <c r="Q445" s="2">
        <v>1</v>
      </c>
      <c r="R445" s="2">
        <v>1</v>
      </c>
      <c r="S445" s="2">
        <v>1</v>
      </c>
      <c r="T445" s="2">
        <v>4</v>
      </c>
      <c r="U445" s="2">
        <f>IF(SUMIFS(StandardName[RankValueInTheRanking],StandardName[StandardizedName],ARWU_QS[[#This Row],[Nazwa uczelni]],StandardName[Ranking],$U$1)=0,$N$3,SUMIFS(StandardName[RankValueInTheRanking],StandardName[StandardizedName],ARWU_QS[[#This Row],[Nazwa uczelni]],StandardName[Ranking],$U$1))</f>
        <v>8</v>
      </c>
      <c r="V445" s="2">
        <f>IF(SUMIFS(StandardName[RankValueInTheRanking],StandardName[StandardizedName],ARWU_QS[[#This Row],[Nazwa uczelni]],StandardName[Ranking],$V$1)=0,$N$3,SUMIFS(StandardName[RankValueInTheRanking],StandardName[StandardizedName],ARWU_QS[[#This Row],[Nazwa uczelni]],StandardName[Ranking],$V$1))</f>
        <v>5</v>
      </c>
      <c r="W445" s="2">
        <f>IF(SUMIFS(StandardName[RankValueInTheRanking],StandardName[StandardizedName],ARWU_QS[[#This Row],[Nazwa uczelni]],StandardName[Ranking],$W$1)=0,$N$3,SUMIFS(StandardName[RankValueInTheRanking],StandardName[StandardizedName],ARWU_QS[[#This Row],[Nazwa uczelni]],StandardName[Ranking],$W$1))</f>
        <v>27</v>
      </c>
      <c r="X445" s="2">
        <f>IF(SUMIFS(StandardName[RankValueInTheRanking],StandardName[StandardizedName],ARWU_QS[[#This Row],[Nazwa uczelni]],StandardName[Ranking],$X$1)=0,$N$3,SUMIFS(StandardName[RankValueInTheRanking],StandardName[StandardizedName],ARWU_QS[[#This Row],[Nazwa uczelni]],StandardName[Ranking],$X$1))</f>
        <v>4</v>
      </c>
      <c r="Y445" s="2">
        <f>SUM(ARWU_QS[[#This Row],[THE_RV1000]:[Webometrics_RV1000]])</f>
        <v>44</v>
      </c>
      <c r="Z445" s="2">
        <v>8</v>
      </c>
      <c r="AA445" s="2">
        <v>5</v>
      </c>
      <c r="AB445" s="2">
        <v>27</v>
      </c>
      <c r="AC445" s="2">
        <v>4</v>
      </c>
      <c r="AD445" s="2">
        <v>8</v>
      </c>
    </row>
    <row r="446" spans="9:30" outlineLevel="1" x14ac:dyDescent="0.45">
      <c r="I446" s="1" t="s">
        <v>190</v>
      </c>
      <c r="O446" s="1" t="s">
        <v>61</v>
      </c>
      <c r="P446" s="1">
        <v>1</v>
      </c>
      <c r="Q446" s="1">
        <v>1</v>
      </c>
      <c r="R446" s="1">
        <v>1</v>
      </c>
      <c r="S446" s="1">
        <v>1</v>
      </c>
      <c r="T446" s="1">
        <v>4</v>
      </c>
      <c r="U446" s="2">
        <f>IF(SUMIFS(StandardName[RankValueInTheRanking],StandardName[StandardizedName],ARWU_QS[[#This Row],[Nazwa uczelni]],StandardName[Ranking],$U$1)=0,$N$3,SUMIFS(StandardName[RankValueInTheRanking],StandardName[StandardizedName],ARWU_QS[[#This Row],[Nazwa uczelni]],StandardName[Ranking],$U$1))</f>
        <v>11</v>
      </c>
      <c r="V446" s="2">
        <f>IF(SUMIFS(StandardName[RankValueInTheRanking],StandardName[StandardizedName],ARWU_QS[[#This Row],[Nazwa uczelni]],StandardName[Ranking],$V$1)=0,$N$3,SUMIFS(StandardName[RankValueInTheRanking],StandardName[StandardizedName],ARWU_QS[[#This Row],[Nazwa uczelni]],StandardName[Ranking],$V$1))</f>
        <v>8</v>
      </c>
      <c r="W446" s="2">
        <f>IF(SUMIFS(StandardName[RankValueInTheRanking],StandardName[StandardizedName],ARWU_QS[[#This Row],[Nazwa uczelni]],StandardName[Ranking],$W$1)=0,$N$3,SUMIFS(StandardName[RankValueInTheRanking],StandardName[StandardizedName],ARWU_QS[[#This Row],[Nazwa uczelni]],StandardName[Ranking],$W$1))</f>
        <v>22</v>
      </c>
      <c r="X446" s="2">
        <f>IF(SUMIFS(StandardName[RankValueInTheRanking],StandardName[StandardizedName],ARWU_QS[[#This Row],[Nazwa uczelni]],StandardName[Ranking],$X$1)=0,$N$3,SUMIFS(StandardName[RankValueInTheRanking],StandardName[StandardizedName],ARWU_QS[[#This Row],[Nazwa uczelni]],StandardName[Ranking],$X$1))</f>
        <v>9</v>
      </c>
      <c r="Y446" s="2">
        <f>SUM(ARWU_QS[[#This Row],[THE_RV1000]:[Webometrics_RV1000]])</f>
        <v>50</v>
      </c>
      <c r="Z446" s="1">
        <v>11</v>
      </c>
      <c r="AA446" s="1">
        <v>8</v>
      </c>
      <c r="AB446" s="1">
        <v>22</v>
      </c>
      <c r="AC446" s="1">
        <v>9</v>
      </c>
      <c r="AD446" s="2">
        <v>11</v>
      </c>
    </row>
    <row r="447" spans="9:30" outlineLevel="1" x14ac:dyDescent="0.45">
      <c r="I447" s="2" t="s">
        <v>734</v>
      </c>
      <c r="O447" s="2" t="s">
        <v>48</v>
      </c>
      <c r="P447" s="2">
        <v>1</v>
      </c>
      <c r="Q447" s="2">
        <v>1</v>
      </c>
      <c r="R447" s="2">
        <v>1</v>
      </c>
      <c r="S447" s="2">
        <v>1</v>
      </c>
      <c r="T447" s="2">
        <v>4</v>
      </c>
      <c r="U447" s="2">
        <f>IF(SUMIFS(StandardName[RankValueInTheRanking],StandardName[StandardizedName],ARWU_QS[[#This Row],[Nazwa uczelni]],StandardName[Ranking],$U$1)=0,$N$3,SUMIFS(StandardName[RankValueInTheRanking],StandardName[StandardizedName],ARWU_QS[[#This Row],[Nazwa uczelni]],StandardName[Ranking],$U$1))</f>
        <v>9</v>
      </c>
      <c r="V447" s="2">
        <f>IF(SUMIFS(StandardName[RankValueInTheRanking],StandardName[StandardizedName],ARWU_QS[[#This Row],[Nazwa uczelni]],StandardName[Ranking],$V$1)=0,$N$3,SUMIFS(StandardName[RankValueInTheRanking],StandardName[StandardizedName],ARWU_QS[[#This Row],[Nazwa uczelni]],StandardName[Ranking],$V$1))</f>
        <v>11</v>
      </c>
      <c r="W447" s="2">
        <f>IF(SUMIFS(StandardName[RankValueInTheRanking],StandardName[StandardizedName],ARWU_QS[[#This Row],[Nazwa uczelni]],StandardName[Ranking],$W$1)=0,$N$3,SUMIFS(StandardName[RankValueInTheRanking],StandardName[StandardizedName],ARWU_QS[[#This Row],[Nazwa uczelni]],StandardName[Ranking],$W$1))</f>
        <v>18</v>
      </c>
      <c r="X447" s="2">
        <f>IF(SUMIFS(StandardName[RankValueInTheRanking],StandardName[StandardizedName],ARWU_QS[[#This Row],[Nazwa uczelni]],StandardName[Ranking],$X$1)=0,$N$3,SUMIFS(StandardName[RankValueInTheRanking],StandardName[StandardizedName],ARWU_QS[[#This Row],[Nazwa uczelni]],StandardName[Ranking],$X$1))</f>
        <v>14</v>
      </c>
      <c r="Y447" s="2">
        <f>SUM(ARWU_QS[[#This Row],[THE_RV1000]:[Webometrics_RV1000]])</f>
        <v>52</v>
      </c>
      <c r="Z447" s="2">
        <v>9</v>
      </c>
      <c r="AA447" s="2">
        <v>11</v>
      </c>
      <c r="AB447" s="2">
        <v>18</v>
      </c>
      <c r="AC447" s="2">
        <v>14</v>
      </c>
      <c r="AD447" s="2">
        <v>9</v>
      </c>
    </row>
    <row r="448" spans="9:30" outlineLevel="1" x14ac:dyDescent="0.45">
      <c r="I448" s="1" t="s">
        <v>211</v>
      </c>
      <c r="O448" s="1" t="s">
        <v>79</v>
      </c>
      <c r="P448" s="1">
        <v>1</v>
      </c>
      <c r="Q448" s="1">
        <v>1</v>
      </c>
      <c r="R448" s="1">
        <v>1</v>
      </c>
      <c r="S448" s="1">
        <v>1</v>
      </c>
      <c r="T448" s="1">
        <v>4</v>
      </c>
      <c r="U448" s="2">
        <f>IF(SUMIFS(StandardName[RankValueInTheRanking],StandardName[StandardizedName],ARWU_QS[[#This Row],[Nazwa uczelni]],StandardName[Ranking],$U$1)=0,$N$3,SUMIFS(StandardName[RankValueInTheRanking],StandardName[StandardizedName],ARWU_QS[[#This Row],[Nazwa uczelni]],StandardName[Ranking],$U$1))</f>
        <v>14</v>
      </c>
      <c r="V448" s="2">
        <f>IF(SUMIFS(StandardName[RankValueInTheRanking],StandardName[StandardizedName],ARWU_QS[[#This Row],[Nazwa uczelni]],StandardName[Ranking],$V$1)=0,$N$3,SUMIFS(StandardName[RankValueInTheRanking],StandardName[StandardizedName],ARWU_QS[[#This Row],[Nazwa uczelni]],StandardName[Ranking],$V$1))</f>
        <v>15</v>
      </c>
      <c r="W448" s="2">
        <f>IF(SUMIFS(StandardName[RankValueInTheRanking],StandardName[StandardizedName],ARWU_QS[[#This Row],[Nazwa uczelni]],StandardName[Ranking],$W$1)=0,$N$3,SUMIFS(StandardName[RankValueInTheRanking],StandardName[StandardizedName],ARWU_QS[[#This Row],[Nazwa uczelni]],StandardName[Ranking],$W$1))</f>
        <v>13</v>
      </c>
      <c r="X448" s="2">
        <f>IF(SUMIFS(StandardName[RankValueInTheRanking],StandardName[StandardizedName],ARWU_QS[[#This Row],[Nazwa uczelni]],StandardName[Ranking],$X$1)=0,$N$3,SUMIFS(StandardName[RankValueInTheRanking],StandardName[StandardizedName],ARWU_QS[[#This Row],[Nazwa uczelni]],StandardName[Ranking],$X$1))</f>
        <v>11</v>
      </c>
      <c r="Y448" s="2">
        <f>SUM(ARWU_QS[[#This Row],[THE_RV1000]:[Webometrics_RV1000]])</f>
        <v>53</v>
      </c>
      <c r="Z448" s="1">
        <v>14</v>
      </c>
      <c r="AA448" s="1">
        <v>15</v>
      </c>
      <c r="AB448" s="1">
        <v>13</v>
      </c>
      <c r="AC448" s="1">
        <v>11</v>
      </c>
      <c r="AD448" s="2">
        <v>14</v>
      </c>
    </row>
    <row r="449" spans="9:30" outlineLevel="1" x14ac:dyDescent="0.45">
      <c r="I449" s="1" t="s">
        <v>770</v>
      </c>
      <c r="O449" s="2" t="s">
        <v>36</v>
      </c>
      <c r="P449" s="2">
        <v>1</v>
      </c>
      <c r="Q449" s="2">
        <v>1</v>
      </c>
      <c r="R449" s="2">
        <v>1</v>
      </c>
      <c r="S449" s="2">
        <v>1</v>
      </c>
      <c r="T449" s="2">
        <v>4</v>
      </c>
      <c r="U449" s="2">
        <f>IF(SUMIFS(StandardName[RankValueInTheRanking],StandardName[StandardizedName],ARWU_QS[[#This Row],[Nazwa uczelni]],StandardName[Ranking],$U$1)=0,$N$3,SUMIFS(StandardName[RankValueInTheRanking],StandardName[StandardizedName],ARWU_QS[[#This Row],[Nazwa uczelni]],StandardName[Ranking],$U$1))</f>
        <v>7</v>
      </c>
      <c r="V449" s="2">
        <f>IF(SUMIFS(StandardName[RankValueInTheRanking],StandardName[StandardizedName],ARWU_QS[[#This Row],[Nazwa uczelni]],StandardName[Ranking],$V$1)=0,$N$3,SUMIFS(StandardName[RankValueInTheRanking],StandardName[StandardizedName],ARWU_QS[[#This Row],[Nazwa uczelni]],StandardName[Ranking],$V$1))</f>
        <v>6</v>
      </c>
      <c r="W449" s="2">
        <f>IF(SUMIFS(StandardName[RankValueInTheRanking],StandardName[StandardizedName],ARWU_QS[[#This Row],[Nazwa uczelni]],StandardName[Ranking],$W$1)=0,$N$3,SUMIFS(StandardName[RankValueInTheRanking],StandardName[StandardizedName],ARWU_QS[[#This Row],[Nazwa uczelni]],StandardName[Ranking],$W$1))</f>
        <v>16</v>
      </c>
      <c r="X449" s="2">
        <f>IF(SUMIFS(StandardName[RankValueInTheRanking],StandardName[StandardizedName],ARWU_QS[[#This Row],[Nazwa uczelni]],StandardName[Ranking],$X$1)=0,$N$3,SUMIFS(StandardName[RankValueInTheRanking],StandardName[StandardizedName],ARWU_QS[[#This Row],[Nazwa uczelni]],StandardName[Ranking],$X$1))</f>
        <v>26</v>
      </c>
      <c r="Y449" s="2">
        <f>SUM(ARWU_QS[[#This Row],[THE_RV1000]:[Webometrics_RV1000]])</f>
        <v>55</v>
      </c>
      <c r="Z449" s="2">
        <v>7</v>
      </c>
      <c r="AA449" s="2">
        <v>6</v>
      </c>
      <c r="AB449" s="2">
        <v>16</v>
      </c>
      <c r="AC449" s="2">
        <v>26</v>
      </c>
      <c r="AD449" s="2">
        <v>7</v>
      </c>
    </row>
    <row r="450" spans="9:30" outlineLevel="1" x14ac:dyDescent="0.45">
      <c r="I450" s="2" t="s">
        <v>27</v>
      </c>
      <c r="O450" s="1" t="s">
        <v>118</v>
      </c>
      <c r="P450" s="1">
        <v>1</v>
      </c>
      <c r="Q450" s="1">
        <v>1</v>
      </c>
      <c r="R450" s="1">
        <v>1</v>
      </c>
      <c r="S450" s="1">
        <v>1</v>
      </c>
      <c r="T450" s="1">
        <v>4</v>
      </c>
      <c r="U450" s="2">
        <f>IF(SUMIFS(StandardName[RankValueInTheRanking],StandardName[StandardizedName],ARWU_QS[[#This Row],[Nazwa uczelni]],StandardName[Ranking],$U$1)=0,$N$3,SUMIFS(StandardName[RankValueInTheRanking],StandardName[StandardizedName],ARWU_QS[[#This Row],[Nazwa uczelni]],StandardName[Ranking],$U$1))</f>
        <v>20</v>
      </c>
      <c r="V450" s="2">
        <f>IF(SUMIFS(StandardName[RankValueInTheRanking],StandardName[StandardizedName],ARWU_QS[[#This Row],[Nazwa uczelni]],StandardName[Ranking],$V$1)=0,$N$3,SUMIFS(StandardName[RankValueInTheRanking],StandardName[StandardizedName],ARWU_QS[[#This Row],[Nazwa uczelni]],StandardName[Ranking],$V$1))</f>
        <v>12</v>
      </c>
      <c r="W450" s="2">
        <f>IF(SUMIFS(StandardName[RankValueInTheRanking],StandardName[StandardizedName],ARWU_QS[[#This Row],[Nazwa uczelni]],StandardName[Ranking],$W$1)=0,$N$3,SUMIFS(StandardName[RankValueInTheRanking],StandardName[StandardizedName],ARWU_QS[[#This Row],[Nazwa uczelni]],StandardName[Ranking],$W$1))</f>
        <v>20</v>
      </c>
      <c r="X450" s="2">
        <f>IF(SUMIFS(StandardName[RankValueInTheRanking],StandardName[StandardizedName],ARWU_QS[[#This Row],[Nazwa uczelni]],StandardName[Ranking],$X$1)=0,$N$3,SUMIFS(StandardName[RankValueInTheRanking],StandardName[StandardizedName],ARWU_QS[[#This Row],[Nazwa uczelni]],StandardName[Ranking],$X$1))</f>
        <v>8</v>
      </c>
      <c r="Y450" s="2">
        <f>SUM(ARWU_QS[[#This Row],[THE_RV1000]:[Webometrics_RV1000]])</f>
        <v>60</v>
      </c>
      <c r="Z450" s="1">
        <v>20</v>
      </c>
      <c r="AA450" s="1">
        <v>12</v>
      </c>
      <c r="AB450" s="1">
        <v>20</v>
      </c>
      <c r="AC450" s="1">
        <v>8</v>
      </c>
      <c r="AD450" s="2">
        <v>20</v>
      </c>
    </row>
    <row r="451" spans="9:30" outlineLevel="1" x14ac:dyDescent="0.45">
      <c r="I451" s="2" t="s">
        <v>253</v>
      </c>
      <c r="O451" s="2" t="s">
        <v>501</v>
      </c>
      <c r="P451" s="2">
        <v>1</v>
      </c>
      <c r="Q451" s="2">
        <v>1</v>
      </c>
      <c r="R451" s="2">
        <v>1</v>
      </c>
      <c r="S451" s="2">
        <v>1</v>
      </c>
      <c r="T451" s="2">
        <v>4</v>
      </c>
      <c r="U451" s="2">
        <f>IF(SUMIFS(StandardName[RankValueInTheRanking],StandardName[StandardizedName],ARWU_QS[[#This Row],[Nazwa uczelni]],StandardName[Ranking],$U$1)=0,$N$3,SUMIFS(StandardName[RankValueInTheRanking],StandardName[StandardizedName],ARWU_QS[[#This Row],[Nazwa uczelni]],StandardName[Ranking],$U$1))</f>
        <v>13</v>
      </c>
      <c r="V451" s="2">
        <f>IF(SUMIFS(StandardName[RankValueInTheRanking],StandardName[StandardizedName],ARWU_QS[[#This Row],[Nazwa uczelni]],StandardName[Ranking],$V$1)=0,$N$3,SUMIFS(StandardName[RankValueInTheRanking],StandardName[StandardizedName],ARWU_QS[[#This Row],[Nazwa uczelni]],StandardName[Ranking],$V$1))</f>
        <v>10</v>
      </c>
      <c r="W451" s="2">
        <f>IF(SUMIFS(StandardName[RankValueInTheRanking],StandardName[StandardizedName],ARWU_QS[[#This Row],[Nazwa uczelni]],StandardName[Ranking],$W$1)=0,$N$3,SUMIFS(StandardName[RankValueInTheRanking],StandardName[StandardizedName],ARWU_QS[[#This Row],[Nazwa uczelni]],StandardName[Ranking],$W$1))</f>
        <v>10</v>
      </c>
      <c r="X451" s="2">
        <f>IF(SUMIFS(StandardName[RankValueInTheRanking],StandardName[StandardizedName],ARWU_QS[[#This Row],[Nazwa uczelni]],StandardName[Ranking],$X$1)=0,$N$3,SUMIFS(StandardName[RankValueInTheRanking],StandardName[StandardizedName],ARWU_QS[[#This Row],[Nazwa uczelni]],StandardName[Ranking],$X$1))</f>
        <v>29</v>
      </c>
      <c r="Y451" s="2">
        <f>SUM(ARWU_QS[[#This Row],[THE_RV1000]:[Webometrics_RV1000]])</f>
        <v>62</v>
      </c>
      <c r="Z451" s="2">
        <v>13</v>
      </c>
      <c r="AA451" s="2">
        <v>10</v>
      </c>
      <c r="AB451" s="2">
        <v>10</v>
      </c>
      <c r="AC451" s="2">
        <v>29</v>
      </c>
      <c r="AD451" s="2">
        <v>13</v>
      </c>
    </row>
    <row r="452" spans="9:30" outlineLevel="1" x14ac:dyDescent="0.45">
      <c r="I452" s="2" t="s">
        <v>428</v>
      </c>
      <c r="O452" s="1" t="s">
        <v>83</v>
      </c>
      <c r="P452" s="1">
        <v>1</v>
      </c>
      <c r="Q452" s="1">
        <v>1</v>
      </c>
      <c r="R452" s="1">
        <v>1</v>
      </c>
      <c r="S452" s="1">
        <v>1</v>
      </c>
      <c r="T452" s="1">
        <v>4</v>
      </c>
      <c r="U452" s="2">
        <f>IF(SUMIFS(StandardName[RankValueInTheRanking],StandardName[StandardizedName],ARWU_QS[[#This Row],[Nazwa uczelni]],StandardName[Ranking],$U$1)=0,$N$3,SUMIFS(StandardName[RankValueInTheRanking],StandardName[StandardizedName],ARWU_QS[[#This Row],[Nazwa uczelni]],StandardName[Ranking],$U$1))</f>
        <v>15</v>
      </c>
      <c r="V452" s="2">
        <f>IF(SUMIFS(StandardName[RankValueInTheRanking],StandardName[StandardizedName],ARWU_QS[[#This Row],[Nazwa uczelni]],StandardName[Ranking],$V$1)=0,$N$3,SUMIFS(StandardName[RankValueInTheRanking],StandardName[StandardizedName],ARWU_QS[[#This Row],[Nazwa uczelni]],StandardName[Ranking],$V$1))</f>
        <v>14</v>
      </c>
      <c r="W452" s="2">
        <f>IF(SUMIFS(StandardName[RankValueInTheRanking],StandardName[StandardizedName],ARWU_QS[[#This Row],[Nazwa uczelni]],StandardName[Ranking],$W$1)=0,$N$3,SUMIFS(StandardName[RankValueInTheRanking],StandardName[StandardizedName],ARWU_QS[[#This Row],[Nazwa uczelni]],StandardName[Ranking],$W$1))</f>
        <v>24</v>
      </c>
      <c r="X452" s="2">
        <f>IF(SUMIFS(StandardName[RankValueInTheRanking],StandardName[StandardizedName],ARWU_QS[[#This Row],[Nazwa uczelni]],StandardName[Ranking],$X$1)=0,$N$3,SUMIFS(StandardName[RankValueInTheRanking],StandardName[StandardizedName],ARWU_QS[[#This Row],[Nazwa uczelni]],StandardName[Ranking],$X$1))</f>
        <v>10</v>
      </c>
      <c r="Y452" s="2">
        <f>SUM(ARWU_QS[[#This Row],[THE_RV1000]:[Webometrics_RV1000]])</f>
        <v>63</v>
      </c>
      <c r="Z452" s="1">
        <v>15</v>
      </c>
      <c r="AA452" s="1">
        <v>14</v>
      </c>
      <c r="AB452" s="1">
        <v>24</v>
      </c>
      <c r="AC452" s="1">
        <v>10</v>
      </c>
      <c r="AD452" s="2">
        <v>15</v>
      </c>
    </row>
    <row r="453" spans="9:30" outlineLevel="1" x14ac:dyDescent="0.45">
      <c r="I453" s="2" t="s">
        <v>814</v>
      </c>
      <c r="O453" s="2" t="s">
        <v>796</v>
      </c>
      <c r="P453" s="2">
        <v>1</v>
      </c>
      <c r="Q453" s="2">
        <v>1</v>
      </c>
      <c r="R453" s="2">
        <v>1</v>
      </c>
      <c r="S453" s="2">
        <v>1</v>
      </c>
      <c r="T453" s="2">
        <v>4</v>
      </c>
      <c r="U453" s="2">
        <f>IF(SUMIFS(StandardName[RankValueInTheRanking],StandardName[StandardizedName],ARWU_QS[[#This Row],[Nazwa uczelni]],StandardName[Ranking],$U$1)=0,$N$3,SUMIFS(StandardName[RankValueInTheRanking],StandardName[StandardizedName],ARWU_QS[[#This Row],[Nazwa uczelni]],StandardName[Ranking],$U$1))</f>
        <v>22</v>
      </c>
      <c r="V453" s="2">
        <f>IF(SUMIFS(StandardName[RankValueInTheRanking],StandardName[StandardizedName],ARWU_QS[[#This Row],[Nazwa uczelni]],StandardName[Ranking],$V$1)=0,$N$3,SUMIFS(StandardName[RankValueInTheRanking],StandardName[StandardizedName],ARWU_QS[[#This Row],[Nazwa uczelni]],StandardName[Ranking],$V$1))</f>
        <v>18</v>
      </c>
      <c r="W453" s="2">
        <f>IF(SUMIFS(StandardName[RankValueInTheRanking],StandardName[StandardizedName],ARWU_QS[[#This Row],[Nazwa uczelni]],StandardName[Ranking],$W$1)=0,$N$3,SUMIFS(StandardName[RankValueInTheRanking],StandardName[StandardizedName],ARWU_QS[[#This Row],[Nazwa uczelni]],StandardName[Ranking],$W$1))</f>
        <v>8</v>
      </c>
      <c r="X453" s="2">
        <f>IF(SUMIFS(StandardName[RankValueInTheRanking],StandardName[StandardizedName],ARWU_QS[[#This Row],[Nazwa uczelni]],StandardName[Ranking],$X$1)=0,$N$3,SUMIFS(StandardName[RankValueInTheRanking],StandardName[StandardizedName],ARWU_QS[[#This Row],[Nazwa uczelni]],StandardName[Ranking],$X$1))</f>
        <v>15</v>
      </c>
      <c r="Y453" s="2">
        <f>SUM(ARWU_QS[[#This Row],[THE_RV1000]:[Webometrics_RV1000]])</f>
        <v>63</v>
      </c>
      <c r="Z453" s="2">
        <v>22</v>
      </c>
      <c r="AA453" s="2">
        <v>18</v>
      </c>
      <c r="AB453" s="2">
        <v>8</v>
      </c>
      <c r="AC453" s="2">
        <v>15</v>
      </c>
      <c r="AD453" s="2">
        <v>22</v>
      </c>
    </row>
    <row r="454" spans="9:30" outlineLevel="1" x14ac:dyDescent="0.45">
      <c r="I454" s="1" t="s">
        <v>245</v>
      </c>
      <c r="O454" s="1" t="s">
        <v>67</v>
      </c>
      <c r="P454" s="1">
        <v>1</v>
      </c>
      <c r="Q454" s="1">
        <v>1</v>
      </c>
      <c r="R454" s="1">
        <v>1</v>
      </c>
      <c r="S454" s="1">
        <v>1</v>
      </c>
      <c r="T454" s="1">
        <v>4</v>
      </c>
      <c r="U454" s="2">
        <f>IF(SUMIFS(StandardName[RankValueInTheRanking],StandardName[StandardizedName],ARWU_QS[[#This Row],[Nazwa uczelni]],StandardName[Ranking],$U$1)=0,$N$3,SUMIFS(StandardName[RankValueInTheRanking],StandardName[StandardizedName],ARWU_QS[[#This Row],[Nazwa uczelni]],StandardName[Ranking],$U$1))</f>
        <v>11</v>
      </c>
      <c r="V454" s="2">
        <f>IF(SUMIFS(StandardName[RankValueInTheRanking],StandardName[StandardizedName],ARWU_QS[[#This Row],[Nazwa uczelni]],StandardName[Ranking],$V$1)=0,$N$3,SUMIFS(StandardName[RankValueInTheRanking],StandardName[StandardizedName],ARWU_QS[[#This Row],[Nazwa uczelni]],StandardName[Ranking],$V$1))</f>
        <v>20</v>
      </c>
      <c r="W454" s="2">
        <f>IF(SUMIFS(StandardName[RankValueInTheRanking],StandardName[StandardizedName],ARWU_QS[[#This Row],[Nazwa uczelni]],StandardName[Ranking],$W$1)=0,$N$3,SUMIFS(StandardName[RankValueInTheRanking],StandardName[StandardizedName],ARWU_QS[[#This Row],[Nazwa uczelni]],StandardName[Ranking],$W$1))</f>
        <v>9</v>
      </c>
      <c r="X454" s="2">
        <f>IF(SUMIFS(StandardName[RankValueInTheRanking],StandardName[StandardizedName],ARWU_QS[[#This Row],[Nazwa uczelni]],StandardName[Ranking],$X$1)=0,$N$3,SUMIFS(StandardName[RankValueInTheRanking],StandardName[StandardizedName],ARWU_QS[[#This Row],[Nazwa uczelni]],StandardName[Ranking],$X$1))</f>
        <v>30</v>
      </c>
      <c r="Y454" s="2">
        <f>SUM(ARWU_QS[[#This Row],[THE_RV1000]:[Webometrics_RV1000]])</f>
        <v>70</v>
      </c>
      <c r="Z454" s="1">
        <v>11</v>
      </c>
      <c r="AA454" s="1">
        <v>20</v>
      </c>
      <c r="AB454" s="1">
        <v>9</v>
      </c>
      <c r="AC454" s="1">
        <v>30</v>
      </c>
      <c r="AD454" s="2">
        <v>12</v>
      </c>
    </row>
    <row r="455" spans="9:30" outlineLevel="1" x14ac:dyDescent="0.45">
      <c r="I455" s="1" t="s">
        <v>469</v>
      </c>
      <c r="O455" s="2" t="s">
        <v>54</v>
      </c>
      <c r="P455" s="2">
        <v>1</v>
      </c>
      <c r="Q455" s="2">
        <v>1</v>
      </c>
      <c r="R455" s="2">
        <v>1</v>
      </c>
      <c r="S455" s="2">
        <v>1</v>
      </c>
      <c r="T455" s="2">
        <v>4</v>
      </c>
      <c r="U455" s="2">
        <f>IF(SUMIFS(StandardName[RankValueInTheRanking],StandardName[StandardizedName],ARWU_QS[[#This Row],[Nazwa uczelni]],StandardName[Ranking],$U$1)=0,$N$3,SUMIFS(StandardName[RankValueInTheRanking],StandardName[StandardizedName],ARWU_QS[[#This Row],[Nazwa uczelni]],StandardName[Ranking],$U$1))</f>
        <v>10</v>
      </c>
      <c r="V455" s="2">
        <f>IF(SUMIFS(StandardName[RankValueInTheRanking],StandardName[StandardizedName],ARWU_QS[[#This Row],[Nazwa uczelni]],StandardName[Ranking],$V$1)=0,$N$3,SUMIFS(StandardName[RankValueInTheRanking],StandardName[StandardizedName],ARWU_QS[[#This Row],[Nazwa uczelni]],StandardName[Ranking],$V$1))</f>
        <v>23</v>
      </c>
      <c r="W455" s="2">
        <f>IF(SUMIFS(StandardName[RankValueInTheRanking],StandardName[StandardizedName],ARWU_QS[[#This Row],[Nazwa uczelni]],StandardName[Ranking],$W$1)=0,$N$3,SUMIFS(StandardName[RankValueInTheRanking],StandardName[StandardizedName],ARWU_QS[[#This Row],[Nazwa uczelni]],StandardName[Ranking],$W$1))</f>
        <v>6</v>
      </c>
      <c r="X455" s="2">
        <f>IF(SUMIFS(StandardName[RankValueInTheRanking],StandardName[StandardizedName],ARWU_QS[[#This Row],[Nazwa uczelni]],StandardName[Ranking],$X$1)=0,$N$3,SUMIFS(StandardName[RankValueInTheRanking],StandardName[StandardizedName],ARWU_QS[[#This Row],[Nazwa uczelni]],StandardName[Ranking],$X$1))</f>
        <v>35</v>
      </c>
      <c r="Y455" s="2">
        <f>SUM(ARWU_QS[[#This Row],[THE_RV1000]:[Webometrics_RV1000]])</f>
        <v>74</v>
      </c>
      <c r="Z455" s="2">
        <v>10</v>
      </c>
      <c r="AA455" s="2">
        <v>23</v>
      </c>
      <c r="AB455" s="2">
        <v>6</v>
      </c>
      <c r="AC455" s="2">
        <v>35</v>
      </c>
      <c r="AD455" s="2">
        <v>10</v>
      </c>
    </row>
    <row r="456" spans="9:30" outlineLevel="1" x14ac:dyDescent="0.45">
      <c r="I456" s="2" t="s">
        <v>614</v>
      </c>
      <c r="O456" s="1" t="s">
        <v>31</v>
      </c>
      <c r="P456" s="1">
        <v>1</v>
      </c>
      <c r="Q456" s="1">
        <v>1</v>
      </c>
      <c r="R456" s="1">
        <v>1</v>
      </c>
      <c r="S456" s="1">
        <v>1</v>
      </c>
      <c r="T456" s="1">
        <v>4</v>
      </c>
      <c r="U456" s="2">
        <f>IF(SUMIFS(StandardName[RankValueInTheRanking],StandardName[StandardizedName],ARWU_QS[[#This Row],[Nazwa uczelni]],StandardName[Ranking],$U$1)=0,$N$3,SUMIFS(StandardName[RankValueInTheRanking],StandardName[StandardizedName],ARWU_QS[[#This Row],[Nazwa uczelni]],StandardName[Ranking],$U$1))</f>
        <v>6</v>
      </c>
      <c r="V456" s="2">
        <f>IF(SUMIFS(StandardName[RankValueInTheRanking],StandardName[StandardizedName],ARWU_QS[[#This Row],[Nazwa uczelni]],StandardName[Ranking],$V$1)=0,$N$3,SUMIFS(StandardName[RankValueInTheRanking],StandardName[StandardizedName],ARWU_QS[[#This Row],[Nazwa uczelni]],StandardName[Ranking],$V$1))</f>
        <v>9</v>
      </c>
      <c r="W456" s="2">
        <f>IF(SUMIFS(StandardName[RankValueInTheRanking],StandardName[StandardizedName],ARWU_QS[[#This Row],[Nazwa uczelni]],StandardName[Ranking],$W$1)=0,$N$3,SUMIFS(StandardName[RankValueInTheRanking],StandardName[StandardizedName],ARWU_QS[[#This Row],[Nazwa uczelni]],StandardName[Ranking],$W$1))</f>
        <v>6</v>
      </c>
      <c r="X456" s="2">
        <f>IF(SUMIFS(StandardName[RankValueInTheRanking],StandardName[StandardizedName],ARWU_QS[[#This Row],[Nazwa uczelni]],StandardName[Ranking],$X$1)=0,$N$3,SUMIFS(StandardName[RankValueInTheRanking],StandardName[StandardizedName],ARWU_QS[[#This Row],[Nazwa uczelni]],StandardName[Ranking],$X$1))</f>
        <v>59</v>
      </c>
      <c r="Y456" s="2">
        <f>SUM(ARWU_QS[[#This Row],[THE_RV1000]:[Webometrics_RV1000]])</f>
        <v>80</v>
      </c>
      <c r="Z456" s="1">
        <v>6</v>
      </c>
      <c r="AA456" s="1">
        <v>9</v>
      </c>
      <c r="AB456" s="1">
        <v>6</v>
      </c>
      <c r="AC456" s="1">
        <v>59</v>
      </c>
      <c r="AD456" s="2">
        <v>6</v>
      </c>
    </row>
    <row r="457" spans="9:30" outlineLevel="1" x14ac:dyDescent="0.45">
      <c r="I457" s="2" t="s">
        <v>738</v>
      </c>
      <c r="O457" s="2" t="s">
        <v>89</v>
      </c>
      <c r="P457" s="2">
        <v>1</v>
      </c>
      <c r="Q457" s="2">
        <v>1</v>
      </c>
      <c r="R457" s="2">
        <v>1</v>
      </c>
      <c r="S457" s="2">
        <v>1</v>
      </c>
      <c r="T457" s="2">
        <v>4</v>
      </c>
      <c r="U457" s="2">
        <f>IF(SUMIFS(StandardName[RankValueInTheRanking],StandardName[StandardizedName],ARWU_QS[[#This Row],[Nazwa uczelni]],StandardName[Ranking],$U$1)=0,$N$3,SUMIFS(StandardName[RankValueInTheRanking],StandardName[StandardizedName],ARWU_QS[[#This Row],[Nazwa uczelni]],StandardName[Ranking],$U$1))</f>
        <v>16</v>
      </c>
      <c r="V457" s="2">
        <f>IF(SUMIFS(StandardName[RankValueInTheRanking],StandardName[StandardizedName],ARWU_QS[[#This Row],[Nazwa uczelni]],StandardName[Ranking],$V$1)=0,$N$3,SUMIFS(StandardName[RankValueInTheRanking],StandardName[StandardizedName],ARWU_QS[[#This Row],[Nazwa uczelni]],StandardName[Ranking],$V$1))</f>
        <v>26</v>
      </c>
      <c r="W457" s="2">
        <f>IF(SUMIFS(StandardName[RankValueInTheRanking],StandardName[StandardizedName],ARWU_QS[[#This Row],[Nazwa uczelni]],StandardName[Ranking],$W$1)=0,$N$3,SUMIFS(StandardName[RankValueInTheRanking],StandardName[StandardizedName],ARWU_QS[[#This Row],[Nazwa uczelni]],StandardName[Ranking],$W$1))</f>
        <v>14</v>
      </c>
      <c r="X457" s="2">
        <f>IF(SUMIFS(StandardName[RankValueInTheRanking],StandardName[StandardizedName],ARWU_QS[[#This Row],[Nazwa uczelni]],StandardName[Ranking],$X$1)=0,$N$3,SUMIFS(StandardName[RankValueInTheRanking],StandardName[StandardizedName],ARWU_QS[[#This Row],[Nazwa uczelni]],StandardName[Ranking],$X$1))</f>
        <v>24</v>
      </c>
      <c r="Y457" s="2">
        <f>SUM(ARWU_QS[[#This Row],[THE_RV1000]:[Webometrics_RV1000]])</f>
        <v>80</v>
      </c>
      <c r="Z457" s="2">
        <v>16</v>
      </c>
      <c r="AA457" s="2">
        <v>26</v>
      </c>
      <c r="AB457" s="2">
        <v>14</v>
      </c>
      <c r="AC457" s="2">
        <v>24</v>
      </c>
      <c r="AD457" s="2">
        <v>16</v>
      </c>
    </row>
    <row r="458" spans="9:30" outlineLevel="1" x14ac:dyDescent="0.45">
      <c r="I458" s="1" t="s">
        <v>110</v>
      </c>
      <c r="O458" s="1" t="s">
        <v>133</v>
      </c>
      <c r="P458" s="1">
        <v>1</v>
      </c>
      <c r="Q458" s="1">
        <v>1</v>
      </c>
      <c r="R458" s="1">
        <v>1</v>
      </c>
      <c r="S458" s="1">
        <v>1</v>
      </c>
      <c r="T458" s="1">
        <v>4</v>
      </c>
      <c r="U458" s="2">
        <f>IF(SUMIFS(StandardName[RankValueInTheRanking],StandardName[StandardizedName],ARWU_QS[[#This Row],[Nazwa uczelni]],StandardName[Ranking],$U$1)=0,$N$3,SUMIFS(StandardName[RankValueInTheRanking],StandardName[StandardizedName],ARWU_QS[[#This Row],[Nazwa uczelni]],StandardName[Ranking],$U$1))</f>
        <v>23</v>
      </c>
      <c r="V458" s="2">
        <f>IF(SUMIFS(StandardName[RankValueInTheRanking],StandardName[StandardizedName],ARWU_QS[[#This Row],[Nazwa uczelni]],StandardName[Ranking],$V$1)=0,$N$3,SUMIFS(StandardName[RankValueInTheRanking],StandardName[StandardizedName],ARWU_QS[[#This Row],[Nazwa uczelni]],StandardName[Ranking],$V$1))</f>
        <v>28</v>
      </c>
      <c r="W458" s="2">
        <f>IF(SUMIFS(StandardName[RankValueInTheRanking],StandardName[StandardizedName],ARWU_QS[[#This Row],[Nazwa uczelni]],StandardName[Ranking],$W$1)=0,$N$3,SUMIFS(StandardName[RankValueInTheRanking],StandardName[StandardizedName],ARWU_QS[[#This Row],[Nazwa uczelni]],StandardName[Ranking],$W$1))</f>
        <v>25</v>
      </c>
      <c r="X458" s="2">
        <f>IF(SUMIFS(StandardName[RankValueInTheRanking],StandardName[StandardizedName],ARWU_QS[[#This Row],[Nazwa uczelni]],StandardName[Ranking],$X$1)=0,$N$3,SUMIFS(StandardName[RankValueInTheRanking],StandardName[StandardizedName],ARWU_QS[[#This Row],[Nazwa uczelni]],StandardName[Ranking],$X$1))</f>
        <v>6</v>
      </c>
      <c r="Y458" s="2">
        <f>SUM(ARWU_QS[[#This Row],[THE_RV1000]:[Webometrics_RV1000]])</f>
        <v>82</v>
      </c>
      <c r="Z458" s="1">
        <v>23</v>
      </c>
      <c r="AA458" s="1">
        <v>28</v>
      </c>
      <c r="AB458" s="1">
        <v>25</v>
      </c>
      <c r="AC458" s="1">
        <v>6</v>
      </c>
      <c r="AD458" s="2">
        <v>23</v>
      </c>
    </row>
    <row r="459" spans="9:30" outlineLevel="1" x14ac:dyDescent="0.45">
      <c r="I459" s="1" t="s">
        <v>139</v>
      </c>
      <c r="O459" s="2" t="s">
        <v>102</v>
      </c>
      <c r="P459" s="2">
        <v>1</v>
      </c>
      <c r="Q459" s="2">
        <v>1</v>
      </c>
      <c r="R459" s="2">
        <v>1</v>
      </c>
      <c r="S459" s="2">
        <v>1</v>
      </c>
      <c r="T459" s="2">
        <v>4</v>
      </c>
      <c r="U459" s="2">
        <f>IF(SUMIFS(StandardName[RankValueInTheRanking],StandardName[StandardizedName],ARWU_QS[[#This Row],[Nazwa uczelni]],StandardName[Ranking],$U$1)=0,$N$3,SUMIFS(StandardName[RankValueInTheRanking],StandardName[StandardizedName],ARWU_QS[[#This Row],[Nazwa uczelni]],StandardName[Ranking],$U$1))</f>
        <v>18</v>
      </c>
      <c r="V459" s="2">
        <f>IF(SUMIFS(StandardName[RankValueInTheRanking],StandardName[StandardizedName],ARWU_QS[[#This Row],[Nazwa uczelni]],StandardName[Ranking],$V$1)=0,$N$3,SUMIFS(StandardName[RankValueInTheRanking],StandardName[StandardizedName],ARWU_QS[[#This Row],[Nazwa uczelni]],StandardName[Ranking],$V$1))</f>
        <v>22</v>
      </c>
      <c r="W459" s="2">
        <f>IF(SUMIFS(StandardName[RankValueInTheRanking],StandardName[StandardizedName],ARWU_QS[[#This Row],[Nazwa uczelni]],StandardName[Ranking],$W$1)=0,$N$3,SUMIFS(StandardName[RankValueInTheRanking],StandardName[StandardizedName],ARWU_QS[[#This Row],[Nazwa uczelni]],StandardName[Ranking],$W$1))</f>
        <v>34</v>
      </c>
      <c r="X459" s="2">
        <f>IF(SUMIFS(StandardName[RankValueInTheRanking],StandardName[StandardizedName],ARWU_QS[[#This Row],[Nazwa uczelni]],StandardName[Ranking],$X$1)=0,$N$3,SUMIFS(StandardName[RankValueInTheRanking],StandardName[StandardizedName],ARWU_QS[[#This Row],[Nazwa uczelni]],StandardName[Ranking],$X$1))</f>
        <v>16</v>
      </c>
      <c r="Y459" s="2">
        <f>SUM(ARWU_QS[[#This Row],[THE_RV1000]:[Webometrics_RV1000]])</f>
        <v>90</v>
      </c>
      <c r="Z459" s="2">
        <v>18</v>
      </c>
      <c r="AA459" s="2">
        <v>22</v>
      </c>
      <c r="AB459" s="2">
        <v>34</v>
      </c>
      <c r="AC459" s="2">
        <v>16</v>
      </c>
      <c r="AD459" s="2">
        <v>18</v>
      </c>
    </row>
    <row r="460" spans="9:30" outlineLevel="1" x14ac:dyDescent="0.45">
      <c r="I460" s="1" t="s">
        <v>830</v>
      </c>
      <c r="O460" s="1" t="s">
        <v>795</v>
      </c>
      <c r="P460" s="1">
        <v>1</v>
      </c>
      <c r="Q460" s="1">
        <v>1</v>
      </c>
      <c r="R460" s="1">
        <v>1</v>
      </c>
      <c r="S460" s="1">
        <v>1</v>
      </c>
      <c r="T460" s="1">
        <v>4</v>
      </c>
      <c r="U460" s="2">
        <f>IF(SUMIFS(StandardName[RankValueInTheRanking],StandardName[StandardizedName],ARWU_QS[[#This Row],[Nazwa uczelni]],StandardName[Ranking],$U$1)=0,$N$3,SUMIFS(StandardName[RankValueInTheRanking],StandardName[StandardizedName],ARWU_QS[[#This Row],[Nazwa uczelni]],StandardName[Ranking],$U$1))</f>
        <v>21</v>
      </c>
      <c r="V460" s="2">
        <f>IF(SUMIFS(StandardName[RankValueInTheRanking],StandardName[StandardizedName],ARWU_QS[[#This Row],[Nazwa uczelni]],StandardName[Ranking],$V$1)=0,$N$3,SUMIFS(StandardName[RankValueInTheRanking],StandardName[StandardizedName],ARWU_QS[[#This Row],[Nazwa uczelni]],StandardName[Ranking],$V$1))</f>
        <v>13</v>
      </c>
      <c r="W460" s="2">
        <f>IF(SUMIFS(StandardName[RankValueInTheRanking],StandardName[StandardizedName],ARWU_QS[[#This Row],[Nazwa uczelni]],StandardName[Ranking],$W$1)=0,$N$3,SUMIFS(StandardName[RankValueInTheRanking],StandardName[StandardizedName],ARWU_QS[[#This Row],[Nazwa uczelni]],StandardName[Ranking],$W$1))</f>
        <v>44</v>
      </c>
      <c r="X460" s="2">
        <f>IF(SUMIFS(StandardName[RankValueInTheRanking],StandardName[StandardizedName],ARWU_QS[[#This Row],[Nazwa uczelni]],StandardName[Ranking],$X$1)=0,$N$3,SUMIFS(StandardName[RankValueInTheRanking],StandardName[StandardizedName],ARWU_QS[[#This Row],[Nazwa uczelni]],StandardName[Ranking],$X$1))</f>
        <v>13</v>
      </c>
      <c r="Y460" s="2">
        <f>SUM(ARWU_QS[[#This Row],[THE_RV1000]:[Webometrics_RV1000]])</f>
        <v>91</v>
      </c>
      <c r="Z460" s="1">
        <v>21</v>
      </c>
      <c r="AA460" s="1">
        <v>13</v>
      </c>
      <c r="AB460" s="1">
        <v>44</v>
      </c>
      <c r="AC460" s="1">
        <v>13</v>
      </c>
      <c r="AD460" s="2">
        <v>21</v>
      </c>
    </row>
    <row r="461" spans="9:30" outlineLevel="1" x14ac:dyDescent="0.45">
      <c r="I461" s="2" t="s">
        <v>151</v>
      </c>
      <c r="O461" s="2" t="s">
        <v>97</v>
      </c>
      <c r="P461" s="2">
        <v>1</v>
      </c>
      <c r="Q461" s="2">
        <v>1</v>
      </c>
      <c r="R461" s="2">
        <v>1</v>
      </c>
      <c r="S461" s="2">
        <v>1</v>
      </c>
      <c r="T461" s="2">
        <v>4</v>
      </c>
      <c r="U461" s="2">
        <f>IF(SUMIFS(StandardName[RankValueInTheRanking],StandardName[StandardizedName],ARWU_QS[[#This Row],[Nazwa uczelni]],StandardName[Ranking],$U$1)=0,$N$3,SUMIFS(StandardName[RankValueInTheRanking],StandardName[StandardizedName],ARWU_QS[[#This Row],[Nazwa uczelni]],StandardName[Ranking],$U$1))</f>
        <v>17</v>
      </c>
      <c r="V461" s="2">
        <f>IF(SUMIFS(StandardName[RankValueInTheRanking],StandardName[StandardizedName],ARWU_QS[[#This Row],[Nazwa uczelni]],StandardName[Ranking],$V$1)=0,$N$3,SUMIFS(StandardName[RankValueInTheRanking],StandardName[StandardizedName],ARWU_QS[[#This Row],[Nazwa uczelni]],StandardName[Ranking],$V$1))</f>
        <v>34</v>
      </c>
      <c r="W461" s="2">
        <f>IF(SUMIFS(StandardName[RankValueInTheRanking],StandardName[StandardizedName],ARWU_QS[[#This Row],[Nazwa uczelni]],StandardName[Ranking],$W$1)=0,$N$3,SUMIFS(StandardName[RankValueInTheRanking],StandardName[StandardizedName],ARWU_QS[[#This Row],[Nazwa uczelni]],StandardName[Ranking],$W$1))</f>
        <v>12</v>
      </c>
      <c r="X461" s="2">
        <f>IF(SUMIFS(StandardName[RankValueInTheRanking],StandardName[StandardizedName],ARWU_QS[[#This Row],[Nazwa uczelni]],StandardName[Ranking],$X$1)=0,$N$3,SUMIFS(StandardName[RankValueInTheRanking],StandardName[StandardizedName],ARWU_QS[[#This Row],[Nazwa uczelni]],StandardName[Ranking],$X$1))</f>
        <v>32</v>
      </c>
      <c r="Y461" s="2">
        <f>SUM(ARWU_QS[[#This Row],[THE_RV1000]:[Webometrics_RV1000]])</f>
        <v>95</v>
      </c>
      <c r="Z461" s="2">
        <v>17</v>
      </c>
      <c r="AA461" s="2">
        <v>34</v>
      </c>
      <c r="AB461" s="2">
        <v>12</v>
      </c>
      <c r="AC461" s="2">
        <v>32</v>
      </c>
      <c r="AD461" s="2">
        <v>17</v>
      </c>
    </row>
    <row r="462" spans="9:30" outlineLevel="1" x14ac:dyDescent="0.45">
      <c r="I462" s="2" t="s">
        <v>806</v>
      </c>
      <c r="O462" s="1" t="s">
        <v>151</v>
      </c>
      <c r="P462" s="1">
        <v>1</v>
      </c>
      <c r="Q462" s="1">
        <v>1</v>
      </c>
      <c r="R462" s="1">
        <v>1</v>
      </c>
      <c r="S462" s="1">
        <v>1</v>
      </c>
      <c r="T462" s="1">
        <v>4</v>
      </c>
      <c r="U462" s="2">
        <f>IF(SUMIFS(StandardName[RankValueInTheRanking],StandardName[StandardizedName],ARWU_QS[[#This Row],[Nazwa uczelni]],StandardName[Ranking],$U$1)=0,$N$3,SUMIFS(StandardName[RankValueInTheRanking],StandardName[StandardizedName],ARWU_QS[[#This Row],[Nazwa uczelni]],StandardName[Ranking],$U$1))</f>
        <v>26</v>
      </c>
      <c r="V462" s="2">
        <f>IF(SUMIFS(StandardName[RankValueInTheRanking],StandardName[StandardizedName],ARWU_QS[[#This Row],[Nazwa uczelni]],StandardName[Ranking],$V$1)=0,$N$3,SUMIFS(StandardName[RankValueInTheRanking],StandardName[StandardizedName],ARWU_QS[[#This Row],[Nazwa uczelni]],StandardName[Ranking],$V$1))</f>
        <v>30</v>
      </c>
      <c r="W462" s="2">
        <f>IF(SUMIFS(StandardName[RankValueInTheRanking],StandardName[StandardizedName],ARWU_QS[[#This Row],[Nazwa uczelni]],StandardName[Ranking],$W$1)=0,$N$3,SUMIFS(StandardName[RankValueInTheRanking],StandardName[StandardizedName],ARWU_QS[[#This Row],[Nazwa uczelni]],StandardName[Ranking],$W$1))</f>
        <v>32</v>
      </c>
      <c r="X462" s="2">
        <f>IF(SUMIFS(StandardName[RankValueInTheRanking],StandardName[StandardizedName],ARWU_QS[[#This Row],[Nazwa uczelni]],StandardName[Ranking],$X$1)=0,$N$3,SUMIFS(StandardName[RankValueInTheRanking],StandardName[StandardizedName],ARWU_QS[[#This Row],[Nazwa uczelni]],StandardName[Ranking],$X$1))</f>
        <v>22</v>
      </c>
      <c r="Y462" s="2">
        <f>SUM(ARWU_QS[[#This Row],[THE_RV1000]:[Webometrics_RV1000]])</f>
        <v>110</v>
      </c>
      <c r="Z462" s="1">
        <v>26</v>
      </c>
      <c r="AA462" s="1">
        <v>30</v>
      </c>
      <c r="AB462" s="1">
        <v>32</v>
      </c>
      <c r="AC462" s="1">
        <v>22</v>
      </c>
      <c r="AD462" s="2">
        <v>26</v>
      </c>
    </row>
    <row r="463" spans="9:30" outlineLevel="1" x14ac:dyDescent="0.45">
      <c r="I463" s="1" t="s">
        <v>722</v>
      </c>
      <c r="O463" s="2" t="s">
        <v>139</v>
      </c>
      <c r="P463" s="2">
        <v>1</v>
      </c>
      <c r="Q463" s="2">
        <v>1</v>
      </c>
      <c r="R463" s="2">
        <v>1</v>
      </c>
      <c r="S463" s="2">
        <v>1</v>
      </c>
      <c r="T463" s="2">
        <v>4</v>
      </c>
      <c r="U463" s="2">
        <f>IF(SUMIFS(StandardName[RankValueInTheRanking],StandardName[StandardizedName],ARWU_QS[[#This Row],[Nazwa uczelni]],StandardName[Ranking],$U$1)=0,$N$3,SUMIFS(StandardName[RankValueInTheRanking],StandardName[StandardizedName],ARWU_QS[[#This Row],[Nazwa uczelni]],StandardName[Ranking],$U$1))</f>
        <v>24</v>
      </c>
      <c r="V463" s="2">
        <f>IF(SUMIFS(StandardName[RankValueInTheRanking],StandardName[StandardizedName],ARWU_QS[[#This Row],[Nazwa uczelni]],StandardName[Ranking],$V$1)=0,$N$3,SUMIFS(StandardName[RankValueInTheRanking],StandardName[StandardizedName],ARWU_QS[[#This Row],[Nazwa uczelni]],StandardName[Ranking],$V$1))</f>
        <v>25</v>
      </c>
      <c r="W463" s="2">
        <f>IF(SUMIFS(StandardName[RankValueInTheRanking],StandardName[StandardizedName],ARWU_QS[[#This Row],[Nazwa uczelni]],StandardName[Ranking],$W$1)=0,$N$3,SUMIFS(StandardName[RankValueInTheRanking],StandardName[StandardizedName],ARWU_QS[[#This Row],[Nazwa uczelni]],StandardName[Ranking],$W$1))</f>
        <v>39</v>
      </c>
      <c r="X463" s="2">
        <f>IF(SUMIFS(StandardName[RankValueInTheRanking],StandardName[StandardizedName],ARWU_QS[[#This Row],[Nazwa uczelni]],StandardName[Ranking],$X$1)=0,$N$3,SUMIFS(StandardName[RankValueInTheRanking],StandardName[StandardizedName],ARWU_QS[[#This Row],[Nazwa uczelni]],StandardName[Ranking],$X$1))</f>
        <v>23</v>
      </c>
      <c r="Y463" s="2">
        <f>SUM(ARWU_QS[[#This Row],[THE_RV1000]:[Webometrics_RV1000]])</f>
        <v>111</v>
      </c>
      <c r="Z463" s="2">
        <v>24</v>
      </c>
      <c r="AA463" s="2">
        <v>25</v>
      </c>
      <c r="AB463" s="2">
        <v>39</v>
      </c>
      <c r="AC463" s="2">
        <v>23</v>
      </c>
      <c r="AD463" s="2">
        <v>24</v>
      </c>
    </row>
    <row r="464" spans="9:30" outlineLevel="1" x14ac:dyDescent="0.45">
      <c r="I464" s="2" t="s">
        <v>663</v>
      </c>
      <c r="O464" s="1" t="s">
        <v>797</v>
      </c>
      <c r="P464" s="1">
        <v>1</v>
      </c>
      <c r="Q464" s="1">
        <v>1</v>
      </c>
      <c r="R464" s="1">
        <v>1</v>
      </c>
      <c r="S464" s="1">
        <v>1</v>
      </c>
      <c r="T464" s="1">
        <v>4</v>
      </c>
      <c r="U464" s="2">
        <f>IF(SUMIFS(StandardName[RankValueInTheRanking],StandardName[StandardizedName],ARWU_QS[[#This Row],[Nazwa uczelni]],StandardName[Ranking],$U$1)=0,$N$3,SUMIFS(StandardName[RankValueInTheRanking],StandardName[StandardizedName],ARWU_QS[[#This Row],[Nazwa uczelni]],StandardName[Ranking],$U$1))</f>
        <v>32</v>
      </c>
      <c r="V464" s="2">
        <f>IF(SUMIFS(StandardName[RankValueInTheRanking],StandardName[StandardizedName],ARWU_QS[[#This Row],[Nazwa uczelni]],StandardName[Ranking],$V$1)=0,$N$3,SUMIFS(StandardName[RankValueInTheRanking],StandardName[StandardizedName],ARWU_QS[[#This Row],[Nazwa uczelni]],StandardName[Ranking],$V$1))</f>
        <v>21</v>
      </c>
      <c r="W464" s="2">
        <f>IF(SUMIFS(StandardName[RankValueInTheRanking],StandardName[StandardizedName],ARWU_QS[[#This Row],[Nazwa uczelni]],StandardName[Ranking],$W$1)=0,$N$3,SUMIFS(StandardName[RankValueInTheRanking],StandardName[StandardizedName],ARWU_QS[[#This Row],[Nazwa uczelni]],StandardName[Ranking],$W$1))</f>
        <v>53</v>
      </c>
      <c r="X464" s="2">
        <f>IF(SUMIFS(StandardName[RankValueInTheRanking],StandardName[StandardizedName],ARWU_QS[[#This Row],[Nazwa uczelni]],StandardName[Ranking],$X$1)=0,$N$3,SUMIFS(StandardName[RankValueInTheRanking],StandardName[StandardizedName],ARWU_QS[[#This Row],[Nazwa uczelni]],StandardName[Ranking],$X$1))</f>
        <v>17</v>
      </c>
      <c r="Y464" s="2">
        <f>SUM(ARWU_QS[[#This Row],[THE_RV1000]:[Webometrics_RV1000]])</f>
        <v>123</v>
      </c>
      <c r="Z464" s="1">
        <v>32</v>
      </c>
      <c r="AA464" s="1">
        <v>21</v>
      </c>
      <c r="AB464" s="1">
        <v>53</v>
      </c>
      <c r="AC464" s="1">
        <v>17</v>
      </c>
      <c r="AD464" s="2">
        <v>32</v>
      </c>
    </row>
    <row r="465" spans="9:30" outlineLevel="1" x14ac:dyDescent="0.45">
      <c r="I465" s="1" t="s">
        <v>456</v>
      </c>
      <c r="O465" s="2" t="s">
        <v>169</v>
      </c>
      <c r="P465" s="2">
        <v>1</v>
      </c>
      <c r="Q465" s="2">
        <v>1</v>
      </c>
      <c r="R465" s="2">
        <v>1</v>
      </c>
      <c r="S465" s="2">
        <v>1</v>
      </c>
      <c r="T465" s="2">
        <v>4</v>
      </c>
      <c r="U465" s="2">
        <f>IF(SUMIFS(StandardName[RankValueInTheRanking],StandardName[StandardizedName],ARWU_QS[[#This Row],[Nazwa uczelni]],StandardName[Ranking],$U$1)=0,$N$3,SUMIFS(StandardName[RankValueInTheRanking],StandardName[StandardizedName],ARWU_QS[[#This Row],[Nazwa uczelni]],StandardName[Ranking],$U$1))</f>
        <v>29</v>
      </c>
      <c r="V465" s="2">
        <f>IF(SUMIFS(StandardName[RankValueInTheRanking],StandardName[StandardizedName],ARWU_QS[[#This Row],[Nazwa uczelni]],StandardName[Ranking],$V$1)=0,$N$3,SUMIFS(StandardName[RankValueInTheRanking],StandardName[StandardizedName],ARWU_QS[[#This Row],[Nazwa uczelni]],StandardName[Ranking],$V$1))</f>
        <v>35</v>
      </c>
      <c r="W465" s="2">
        <f>IF(SUMIFS(StandardName[RankValueInTheRanking],StandardName[StandardizedName],ARWU_QS[[#This Row],[Nazwa uczelni]],StandardName[Ranking],$W$1)=0,$N$3,SUMIFS(StandardName[RankValueInTheRanking],StandardName[StandardizedName],ARWU_QS[[#This Row],[Nazwa uczelni]],StandardName[Ranking],$W$1))</f>
        <v>15</v>
      </c>
      <c r="X465" s="2">
        <f>IF(SUMIFS(StandardName[RankValueInTheRanking],StandardName[StandardizedName],ARWU_QS[[#This Row],[Nazwa uczelni]],StandardName[Ranking],$X$1)=0,$N$3,SUMIFS(StandardName[RankValueInTheRanking],StandardName[StandardizedName],ARWU_QS[[#This Row],[Nazwa uczelni]],StandardName[Ranking],$X$1))</f>
        <v>44</v>
      </c>
      <c r="Y465" s="2">
        <f>SUM(ARWU_QS[[#This Row],[THE_RV1000]:[Webometrics_RV1000]])</f>
        <v>123</v>
      </c>
      <c r="Z465" s="2">
        <v>29</v>
      </c>
      <c r="AA465" s="2">
        <v>35</v>
      </c>
      <c r="AB465" s="2">
        <v>15</v>
      </c>
      <c r="AC465" s="2">
        <v>44</v>
      </c>
      <c r="AD465" s="2">
        <v>29</v>
      </c>
    </row>
    <row r="466" spans="9:30" outlineLevel="1" x14ac:dyDescent="0.45">
      <c r="I466" s="2" t="s">
        <v>97</v>
      </c>
      <c r="O466" s="1" t="s">
        <v>145</v>
      </c>
      <c r="P466" s="1">
        <v>1</v>
      </c>
      <c r="Q466" s="1">
        <v>1</v>
      </c>
      <c r="R466" s="1">
        <v>1</v>
      </c>
      <c r="S466" s="1">
        <v>1</v>
      </c>
      <c r="T466" s="1">
        <v>4</v>
      </c>
      <c r="U466" s="2">
        <f>IF(SUMIFS(StandardName[RankValueInTheRanking],StandardName[StandardizedName],ARWU_QS[[#This Row],[Nazwa uczelni]],StandardName[Ranking],$U$1)=0,$N$3,SUMIFS(StandardName[RankValueInTheRanking],StandardName[StandardizedName],ARWU_QS[[#This Row],[Nazwa uczelni]],StandardName[Ranking],$U$1))</f>
        <v>25</v>
      </c>
      <c r="V466" s="2">
        <f>IF(SUMIFS(StandardName[RankValueInTheRanking],StandardName[StandardizedName],ARWU_QS[[#This Row],[Nazwa uczelni]],StandardName[Ranking],$V$1)=0,$N$3,SUMIFS(StandardName[RankValueInTheRanking],StandardName[StandardizedName],ARWU_QS[[#This Row],[Nazwa uczelni]],StandardName[Ranking],$V$1))</f>
        <v>31</v>
      </c>
      <c r="W466" s="2">
        <f>IF(SUMIFS(StandardName[RankValueInTheRanking],StandardName[StandardizedName],ARWU_QS[[#This Row],[Nazwa uczelni]],StandardName[Ranking],$W$1)=0,$N$3,SUMIFS(StandardName[RankValueInTheRanking],StandardName[StandardizedName],ARWU_QS[[#This Row],[Nazwa uczelni]],StandardName[Ranking],$W$1))</f>
        <v>50</v>
      </c>
      <c r="X466" s="2">
        <f>IF(SUMIFS(StandardName[RankValueInTheRanking],StandardName[StandardizedName],ARWU_QS[[#This Row],[Nazwa uczelni]],StandardName[Ranking],$X$1)=0,$N$3,SUMIFS(StandardName[RankValueInTheRanking],StandardName[StandardizedName],ARWU_QS[[#This Row],[Nazwa uczelni]],StandardName[Ranking],$X$1))</f>
        <v>21</v>
      </c>
      <c r="Y466" s="2">
        <f>SUM(ARWU_QS[[#This Row],[THE_RV1000]:[Webometrics_RV1000]])</f>
        <v>127</v>
      </c>
      <c r="Z466" s="1">
        <v>25</v>
      </c>
      <c r="AA466" s="1">
        <v>31</v>
      </c>
      <c r="AB466" s="1">
        <v>50</v>
      </c>
      <c r="AC466" s="1">
        <v>21</v>
      </c>
      <c r="AD466" s="2">
        <v>25</v>
      </c>
    </row>
    <row r="467" spans="9:30" outlineLevel="1" x14ac:dyDescent="0.45">
      <c r="I467" s="2" t="s">
        <v>765</v>
      </c>
      <c r="O467" s="2" t="s">
        <v>157</v>
      </c>
      <c r="P467" s="2">
        <v>1</v>
      </c>
      <c r="Q467" s="2">
        <v>1</v>
      </c>
      <c r="R467" s="2">
        <v>1</v>
      </c>
      <c r="S467" s="2">
        <v>1</v>
      </c>
      <c r="T467" s="2">
        <v>4</v>
      </c>
      <c r="U467" s="2">
        <f>IF(SUMIFS(StandardName[RankValueInTheRanking],StandardName[StandardizedName],ARWU_QS[[#This Row],[Nazwa uczelni]],StandardName[Ranking],$U$1)=0,$N$3,SUMIFS(StandardName[RankValueInTheRanking],StandardName[StandardizedName],ARWU_QS[[#This Row],[Nazwa uczelni]],StandardName[Ranking],$U$1))</f>
        <v>26</v>
      </c>
      <c r="V467" s="2">
        <f>IF(SUMIFS(StandardName[RankValueInTheRanking],StandardName[StandardizedName],ARWU_QS[[#This Row],[Nazwa uczelni]],StandardName[Ranking],$V$1)=0,$N$3,SUMIFS(StandardName[RankValueInTheRanking],StandardName[StandardizedName],ARWU_QS[[#This Row],[Nazwa uczelni]],StandardName[Ranking],$V$1))</f>
        <v>17</v>
      </c>
      <c r="W467" s="2">
        <f>IF(SUMIFS(StandardName[RankValueInTheRanking],StandardName[StandardizedName],ARWU_QS[[#This Row],[Nazwa uczelni]],StandardName[Ranking],$W$1)=0,$N$3,SUMIFS(StandardName[RankValueInTheRanking],StandardName[StandardizedName],ARWU_QS[[#This Row],[Nazwa uczelni]],StandardName[Ranking],$W$1))</f>
        <v>80</v>
      </c>
      <c r="X467" s="2">
        <f>IF(SUMIFS(StandardName[RankValueInTheRanking],StandardName[StandardizedName],ARWU_QS[[#This Row],[Nazwa uczelni]],StandardName[Ranking],$X$1)=0,$N$3,SUMIFS(StandardName[RankValueInTheRanking],StandardName[StandardizedName],ARWU_QS[[#This Row],[Nazwa uczelni]],StandardName[Ranking],$X$1))</f>
        <v>7</v>
      </c>
      <c r="Y467" s="2">
        <f>SUM(ARWU_QS[[#This Row],[THE_RV1000]:[Webometrics_RV1000]])</f>
        <v>130</v>
      </c>
      <c r="Z467" s="2">
        <v>26</v>
      </c>
      <c r="AA467" s="2">
        <v>17</v>
      </c>
      <c r="AB467" s="2">
        <v>80</v>
      </c>
      <c r="AC467" s="2">
        <v>7</v>
      </c>
      <c r="AD467" s="2">
        <v>27</v>
      </c>
    </row>
    <row r="468" spans="9:30" outlineLevel="1" x14ac:dyDescent="0.45">
      <c r="I468" s="2" t="s">
        <v>728</v>
      </c>
      <c r="O468" s="1" t="s">
        <v>194</v>
      </c>
      <c r="P468" s="1">
        <v>1</v>
      </c>
      <c r="Q468" s="1">
        <v>1</v>
      </c>
      <c r="R468" s="1">
        <v>1</v>
      </c>
      <c r="S468" s="1">
        <v>1</v>
      </c>
      <c r="T468" s="1">
        <v>4</v>
      </c>
      <c r="U468" s="2">
        <f>IF(SUMIFS(StandardName[RankValueInTheRanking],StandardName[StandardizedName],ARWU_QS[[#This Row],[Nazwa uczelni]],StandardName[Ranking],$U$1)=0,$N$3,SUMIFS(StandardName[RankValueInTheRanking],StandardName[StandardizedName],ARWU_QS[[#This Row],[Nazwa uczelni]],StandardName[Ranking],$U$1))</f>
        <v>34</v>
      </c>
      <c r="V468" s="2">
        <f>IF(SUMIFS(StandardName[RankValueInTheRanking],StandardName[StandardizedName],ARWU_QS[[#This Row],[Nazwa uczelni]],StandardName[Ranking],$V$1)=0,$N$3,SUMIFS(StandardName[RankValueInTheRanking],StandardName[StandardizedName],ARWU_QS[[#This Row],[Nazwa uczelni]],StandardName[Ranking],$V$1))</f>
        <v>32</v>
      </c>
      <c r="W468" s="2">
        <f>IF(SUMIFS(StandardName[RankValueInTheRanking],StandardName[StandardizedName],ARWU_QS[[#This Row],[Nazwa uczelni]],StandardName[Ranking],$W$1)=0,$N$3,SUMIFS(StandardName[RankValueInTheRanking],StandardName[StandardizedName],ARWU_QS[[#This Row],[Nazwa uczelni]],StandardName[Ranking],$W$1))</f>
        <v>33</v>
      </c>
      <c r="X468" s="2">
        <f>IF(SUMIFS(StandardName[RankValueInTheRanking],StandardName[StandardizedName],ARWU_QS[[#This Row],[Nazwa uczelni]],StandardName[Ranking],$X$1)=0,$N$3,SUMIFS(StandardName[RankValueInTheRanking],StandardName[StandardizedName],ARWU_QS[[#This Row],[Nazwa uczelni]],StandardName[Ranking],$X$1))</f>
        <v>40</v>
      </c>
      <c r="Y468" s="2">
        <f>SUM(ARWU_QS[[#This Row],[THE_RV1000]:[Webometrics_RV1000]])</f>
        <v>139</v>
      </c>
      <c r="Z468" s="1">
        <v>34</v>
      </c>
      <c r="AA468" s="1">
        <v>32</v>
      </c>
      <c r="AB468" s="1">
        <v>33</v>
      </c>
      <c r="AC468" s="1">
        <v>40</v>
      </c>
      <c r="AD468" s="2">
        <v>34</v>
      </c>
    </row>
    <row r="469" spans="9:30" outlineLevel="1" x14ac:dyDescent="0.45">
      <c r="I469" s="1" t="s">
        <v>36</v>
      </c>
      <c r="O469" s="2" t="s">
        <v>110</v>
      </c>
      <c r="P469" s="2">
        <v>1</v>
      </c>
      <c r="Q469" s="2">
        <v>1</v>
      </c>
      <c r="R469" s="2">
        <v>1</v>
      </c>
      <c r="S469" s="2">
        <v>1</v>
      </c>
      <c r="T469" s="2">
        <v>4</v>
      </c>
      <c r="U469" s="2">
        <f>IF(SUMIFS(StandardName[RankValueInTheRanking],StandardName[StandardizedName],ARWU_QS[[#This Row],[Nazwa uczelni]],StandardName[Ranking],$U$1)=0,$N$3,SUMIFS(StandardName[RankValueInTheRanking],StandardName[StandardizedName],ARWU_QS[[#This Row],[Nazwa uczelni]],StandardName[Ranking],$U$1))</f>
        <v>19</v>
      </c>
      <c r="V469" s="2">
        <f>IF(SUMIFS(StandardName[RankValueInTheRanking],StandardName[StandardizedName],ARWU_QS[[#This Row],[Nazwa uczelni]],StandardName[Ranking],$V$1)=0,$N$3,SUMIFS(StandardName[RankValueInTheRanking],StandardName[StandardizedName],ARWU_QS[[#This Row],[Nazwa uczelni]],StandardName[Ranking],$V$1))</f>
        <v>71</v>
      </c>
      <c r="W469" s="2">
        <f>IF(SUMIFS(StandardName[RankValueInTheRanking],StandardName[StandardizedName],ARWU_QS[[#This Row],[Nazwa uczelni]],StandardName[Ranking],$W$1)=0,$N$3,SUMIFS(StandardName[RankValueInTheRanking],StandardName[StandardizedName],ARWU_QS[[#This Row],[Nazwa uczelni]],StandardName[Ranking],$W$1))</f>
        <v>11</v>
      </c>
      <c r="X469" s="2">
        <f>IF(SUMIFS(StandardName[RankValueInTheRanking],StandardName[StandardizedName],ARWU_QS[[#This Row],[Nazwa uczelni]],StandardName[Ranking],$X$1)=0,$N$3,SUMIFS(StandardName[RankValueInTheRanking],StandardName[StandardizedName],ARWU_QS[[#This Row],[Nazwa uczelni]],StandardName[Ranking],$X$1))</f>
        <v>47</v>
      </c>
      <c r="Y469" s="2">
        <f>SUM(ARWU_QS[[#This Row],[THE_RV1000]:[Webometrics_RV1000]])</f>
        <v>148</v>
      </c>
      <c r="Z469" s="2">
        <v>19</v>
      </c>
      <c r="AA469" s="2">
        <v>71</v>
      </c>
      <c r="AB469" s="2">
        <v>11</v>
      </c>
      <c r="AC469" s="2">
        <v>47</v>
      </c>
      <c r="AD469" s="2">
        <v>19</v>
      </c>
    </row>
    <row r="470" spans="9:30" outlineLevel="1" x14ac:dyDescent="0.45">
      <c r="I470" s="2" t="s">
        <v>813</v>
      </c>
      <c r="O470" s="1" t="s">
        <v>854</v>
      </c>
      <c r="P470" s="1">
        <v>1</v>
      </c>
      <c r="Q470" s="1">
        <v>1</v>
      </c>
      <c r="R470" s="1">
        <v>1</v>
      </c>
      <c r="S470" s="1">
        <v>1</v>
      </c>
      <c r="T470" s="1">
        <v>4</v>
      </c>
      <c r="U470" s="2">
        <f>IF(SUMIFS(StandardName[RankValueInTheRanking],StandardName[StandardizedName],ARWU_QS[[#This Row],[Nazwa uczelni]],StandardName[Ranking],$U$1)=0,$N$3,SUMIFS(StandardName[RankValueInTheRanking],StandardName[StandardizedName],ARWU_QS[[#This Row],[Nazwa uczelni]],StandardName[Ranking],$U$1))</f>
        <v>39</v>
      </c>
      <c r="V470" s="2">
        <f>IF(SUMIFS(StandardName[RankValueInTheRanking],StandardName[StandardizedName],ARWU_QS[[#This Row],[Nazwa uczelni]],StandardName[Ranking],$V$1)=0,$N$3,SUMIFS(StandardName[RankValueInTheRanking],StandardName[StandardizedName],ARWU_QS[[#This Row],[Nazwa uczelni]],StandardName[Ranking],$V$1))</f>
        <v>24</v>
      </c>
      <c r="W470" s="2">
        <f>IF(SUMIFS(StandardName[RankValueInTheRanking],StandardName[StandardizedName],ARWU_QS[[#This Row],[Nazwa uczelni]],StandardName[Ranking],$W$1)=0,$N$3,SUMIFS(StandardName[RankValueInTheRanking],StandardName[StandardizedName],ARWU_QS[[#This Row],[Nazwa uczelni]],StandardName[Ranking],$W$1))</f>
        <v>23</v>
      </c>
      <c r="X470" s="2">
        <f>IF(SUMIFS(StandardName[RankValueInTheRanking],StandardName[StandardizedName],ARWU_QS[[#This Row],[Nazwa uczelni]],StandardName[Ranking],$X$1)=0,$N$3,SUMIFS(StandardName[RankValueInTheRanking],StandardName[StandardizedName],ARWU_QS[[#This Row],[Nazwa uczelni]],StandardName[Ranking],$X$1))</f>
        <v>66</v>
      </c>
      <c r="Y470" s="2">
        <f>SUM(ARWU_QS[[#This Row],[THE_RV1000]:[Webometrics_RV1000]])</f>
        <v>152</v>
      </c>
      <c r="Z470" s="1">
        <v>39</v>
      </c>
      <c r="AA470" s="1">
        <v>24</v>
      </c>
      <c r="AB470" s="1">
        <v>23</v>
      </c>
      <c r="AC470" s="1">
        <v>66</v>
      </c>
      <c r="AD470" s="2">
        <v>39</v>
      </c>
    </row>
    <row r="471" spans="9:30" outlineLevel="1" x14ac:dyDescent="0.45">
      <c r="I471" s="2" t="s">
        <v>782</v>
      </c>
      <c r="O471" s="2" t="s">
        <v>225</v>
      </c>
      <c r="P471" s="2">
        <v>1</v>
      </c>
      <c r="Q471" s="2">
        <v>1</v>
      </c>
      <c r="R471" s="2">
        <v>1</v>
      </c>
      <c r="S471" s="2">
        <v>1</v>
      </c>
      <c r="T471" s="2">
        <v>4</v>
      </c>
      <c r="U471" s="2">
        <f>IF(SUMIFS(StandardName[RankValueInTheRanking],StandardName[StandardizedName],ARWU_QS[[#This Row],[Nazwa uczelni]],StandardName[Ranking],$U$1)=0,$N$3,SUMIFS(StandardName[RankValueInTheRanking],StandardName[StandardizedName],ARWU_QS[[#This Row],[Nazwa uczelni]],StandardName[Ranking],$U$1))</f>
        <v>40</v>
      </c>
      <c r="V471" s="2">
        <f>IF(SUMIFS(StandardName[RankValueInTheRanking],StandardName[StandardizedName],ARWU_QS[[#This Row],[Nazwa uczelni]],StandardName[Ranking],$V$1)=0,$N$3,SUMIFS(StandardName[RankValueInTheRanking],StandardName[StandardizedName],ARWU_QS[[#This Row],[Nazwa uczelni]],StandardName[Ranking],$V$1))</f>
        <v>44</v>
      </c>
      <c r="W471" s="2">
        <f>IF(SUMIFS(StandardName[RankValueInTheRanking],StandardName[StandardizedName],ARWU_QS[[#This Row],[Nazwa uczelni]],StandardName[Ranking],$W$1)=0,$N$3,SUMIFS(StandardName[RankValueInTheRanking],StandardName[StandardizedName],ARWU_QS[[#This Row],[Nazwa uczelni]],StandardName[Ranking],$W$1))</f>
        <v>47</v>
      </c>
      <c r="X471" s="2">
        <f>IF(SUMIFS(StandardName[RankValueInTheRanking],StandardName[StandardizedName],ARWU_QS[[#This Row],[Nazwa uczelni]],StandardName[Ranking],$X$1)=0,$N$3,SUMIFS(StandardName[RankValueInTheRanking],StandardName[StandardizedName],ARWU_QS[[#This Row],[Nazwa uczelni]],StandardName[Ranking],$X$1))</f>
        <v>27</v>
      </c>
      <c r="Y471" s="2">
        <f>SUM(ARWU_QS[[#This Row],[THE_RV1000]:[Webometrics_RV1000]])</f>
        <v>158</v>
      </c>
      <c r="Z471" s="2">
        <v>40</v>
      </c>
      <c r="AA471" s="2">
        <v>44</v>
      </c>
      <c r="AB471" s="2">
        <v>47</v>
      </c>
      <c r="AC471" s="2">
        <v>27</v>
      </c>
      <c r="AD471" s="2">
        <v>40</v>
      </c>
    </row>
    <row r="472" spans="9:30" outlineLevel="1" x14ac:dyDescent="0.45">
      <c r="I472" s="1" t="s">
        <v>552</v>
      </c>
      <c r="O472" s="1" t="s">
        <v>296</v>
      </c>
      <c r="P472" s="1">
        <v>1</v>
      </c>
      <c r="Q472" s="1">
        <v>1</v>
      </c>
      <c r="R472" s="1">
        <v>1</v>
      </c>
      <c r="S472" s="1">
        <v>1</v>
      </c>
      <c r="T472" s="1">
        <v>4</v>
      </c>
      <c r="U472" s="2">
        <f>IF(SUMIFS(StandardName[RankValueInTheRanking],StandardName[StandardizedName],ARWU_QS[[#This Row],[Nazwa uczelni]],StandardName[Ranking],$U$1)=0,$N$3,SUMIFS(StandardName[RankValueInTheRanking],StandardName[StandardizedName],ARWU_QS[[#This Row],[Nazwa uczelni]],StandardName[Ranking],$U$1))</f>
        <v>54</v>
      </c>
      <c r="V472" s="2">
        <f>IF(SUMIFS(StandardName[RankValueInTheRanking],StandardName[StandardizedName],ARWU_QS[[#This Row],[Nazwa uczelni]],StandardName[Ranking],$V$1)=0,$N$3,SUMIFS(StandardName[RankValueInTheRanking],StandardName[StandardizedName],ARWU_QS[[#This Row],[Nazwa uczelni]],StandardName[Ranking],$V$1))</f>
        <v>38</v>
      </c>
      <c r="W472" s="2">
        <f>IF(SUMIFS(StandardName[RankValueInTheRanking],StandardName[StandardizedName],ARWU_QS[[#This Row],[Nazwa uczelni]],StandardName[Ranking],$W$1)=0,$N$3,SUMIFS(StandardName[RankValueInTheRanking],StandardName[StandardizedName],ARWU_QS[[#This Row],[Nazwa uczelni]],StandardName[Ranking],$W$1))</f>
        <v>28</v>
      </c>
      <c r="X472" s="2">
        <f>IF(SUMIFS(StandardName[RankValueInTheRanking],StandardName[StandardizedName],ARWU_QS[[#This Row],[Nazwa uczelni]],StandardName[Ranking],$X$1)=0,$N$3,SUMIFS(StandardName[RankValueInTheRanking],StandardName[StandardizedName],ARWU_QS[[#This Row],[Nazwa uczelni]],StandardName[Ranking],$X$1))</f>
        <v>61</v>
      </c>
      <c r="Y472" s="2">
        <f>SUM(ARWU_QS[[#This Row],[THE_RV1000]:[Webometrics_RV1000]])</f>
        <v>181</v>
      </c>
      <c r="Z472" s="1">
        <v>54</v>
      </c>
      <c r="AA472" s="1">
        <v>38</v>
      </c>
      <c r="AB472" s="1">
        <v>28</v>
      </c>
      <c r="AC472" s="1">
        <v>61</v>
      </c>
      <c r="AD472" s="2">
        <v>54</v>
      </c>
    </row>
    <row r="473" spans="9:30" outlineLevel="1" x14ac:dyDescent="0.45">
      <c r="I473" s="2" t="s">
        <v>815</v>
      </c>
      <c r="O473" s="2" t="s">
        <v>276</v>
      </c>
      <c r="P473" s="2">
        <v>1</v>
      </c>
      <c r="Q473" s="2">
        <v>1</v>
      </c>
      <c r="R473" s="2">
        <v>1</v>
      </c>
      <c r="S473" s="2">
        <v>1</v>
      </c>
      <c r="T473" s="2">
        <v>4</v>
      </c>
      <c r="U473" s="2">
        <f>IF(SUMIFS(StandardName[RankValueInTheRanking],StandardName[StandardizedName],ARWU_QS[[#This Row],[Nazwa uczelni]],StandardName[Ranking],$U$1)=0,$N$3,SUMIFS(StandardName[RankValueInTheRanking],StandardName[StandardizedName],ARWU_QS[[#This Row],[Nazwa uczelni]],StandardName[Ranking],$U$1))</f>
        <v>50</v>
      </c>
      <c r="V473" s="2">
        <f>IF(SUMIFS(StandardName[RankValueInTheRanking],StandardName[StandardizedName],ARWU_QS[[#This Row],[Nazwa uczelni]],StandardName[Ranking],$V$1)=0,$N$3,SUMIFS(StandardName[RankValueInTheRanking],StandardName[StandardizedName],ARWU_QS[[#This Row],[Nazwa uczelni]],StandardName[Ranking],$V$1))</f>
        <v>37</v>
      </c>
      <c r="W473" s="2">
        <f>IF(SUMIFS(StandardName[RankValueInTheRanking],StandardName[StandardizedName],ARWU_QS[[#This Row],[Nazwa uczelni]],StandardName[Ranking],$W$1)=0,$N$3,SUMIFS(StandardName[RankValueInTheRanking],StandardName[StandardizedName],ARWU_QS[[#This Row],[Nazwa uczelni]],StandardName[Ranking],$W$1))</f>
        <v>72</v>
      </c>
      <c r="X473" s="2">
        <f>IF(SUMIFS(StandardName[RankValueInTheRanking],StandardName[StandardizedName],ARWU_QS[[#This Row],[Nazwa uczelni]],StandardName[Ranking],$X$1)=0,$N$3,SUMIFS(StandardName[RankValueInTheRanking],StandardName[StandardizedName],ARWU_QS[[#This Row],[Nazwa uczelni]],StandardName[Ranking],$X$1))</f>
        <v>25</v>
      </c>
      <c r="Y473" s="2">
        <f>SUM(ARWU_QS[[#This Row],[THE_RV1000]:[Webometrics_RV1000]])</f>
        <v>184</v>
      </c>
      <c r="Z473" s="2">
        <v>50</v>
      </c>
      <c r="AA473" s="2">
        <v>37</v>
      </c>
      <c r="AB473" s="2">
        <v>72</v>
      </c>
      <c r="AC473" s="2">
        <v>25</v>
      </c>
      <c r="AD473" s="2">
        <v>50</v>
      </c>
    </row>
    <row r="474" spans="9:30" outlineLevel="1" x14ac:dyDescent="0.45">
      <c r="I474" s="1" t="s">
        <v>477</v>
      </c>
      <c r="O474" s="1" t="s">
        <v>199</v>
      </c>
      <c r="P474" s="1">
        <v>1</v>
      </c>
      <c r="Q474" s="1">
        <v>1</v>
      </c>
      <c r="R474" s="1">
        <v>1</v>
      </c>
      <c r="S474" s="1">
        <v>1</v>
      </c>
      <c r="T474" s="1">
        <v>4</v>
      </c>
      <c r="U474" s="2">
        <f>IF(SUMIFS(StandardName[RankValueInTheRanking],StandardName[StandardizedName],ARWU_QS[[#This Row],[Nazwa uczelni]],StandardName[Ranking],$U$1)=0,$N$3,SUMIFS(StandardName[RankValueInTheRanking],StandardName[StandardizedName],ARWU_QS[[#This Row],[Nazwa uczelni]],StandardName[Ranking],$U$1))</f>
        <v>35</v>
      </c>
      <c r="V474" s="2">
        <f>IF(SUMIFS(StandardName[RankValueInTheRanking],StandardName[StandardizedName],ARWU_QS[[#This Row],[Nazwa uczelni]],StandardName[Ranking],$V$1)=0,$N$3,SUMIFS(StandardName[RankValueInTheRanking],StandardName[StandardizedName],ARWU_QS[[#This Row],[Nazwa uczelni]],StandardName[Ranking],$V$1))</f>
        <v>48</v>
      </c>
      <c r="W474" s="2">
        <f>IF(SUMIFS(StandardName[RankValueInTheRanking],StandardName[StandardizedName],ARWU_QS[[#This Row],[Nazwa uczelni]],StandardName[Ranking],$W$1)=0,$N$3,SUMIFS(StandardName[RankValueInTheRanking],StandardName[StandardizedName],ARWU_QS[[#This Row],[Nazwa uczelni]],StandardName[Ranking],$W$1))</f>
        <v>37</v>
      </c>
      <c r="X474" s="2">
        <f>IF(SUMIFS(StandardName[RankValueInTheRanking],StandardName[StandardizedName],ARWU_QS[[#This Row],[Nazwa uczelni]],StandardName[Ranking],$X$1)=0,$N$3,SUMIFS(StandardName[RankValueInTheRanking],StandardName[StandardizedName],ARWU_QS[[#This Row],[Nazwa uczelni]],StandardName[Ranking],$X$1))</f>
        <v>67</v>
      </c>
      <c r="Y474" s="2">
        <f>SUM(ARWU_QS[[#This Row],[THE_RV1000]:[Webometrics_RV1000]])</f>
        <v>187</v>
      </c>
      <c r="Z474" s="1">
        <v>35</v>
      </c>
      <c r="AA474" s="1">
        <v>48</v>
      </c>
      <c r="AB474" s="1">
        <v>37</v>
      </c>
      <c r="AC474" s="1">
        <v>67</v>
      </c>
      <c r="AD474" s="2">
        <v>35</v>
      </c>
    </row>
    <row r="475" spans="9:30" outlineLevel="1" x14ac:dyDescent="0.45">
      <c r="I475" s="2" t="s">
        <v>306</v>
      </c>
      <c r="O475" s="2" t="s">
        <v>816</v>
      </c>
      <c r="P475" s="2">
        <v>1</v>
      </c>
      <c r="Q475" s="2">
        <v>1</v>
      </c>
      <c r="R475" s="2">
        <v>1</v>
      </c>
      <c r="S475" s="2">
        <v>1</v>
      </c>
      <c r="T475" s="2">
        <v>4</v>
      </c>
      <c r="U475" s="2">
        <f>IF(SUMIFS(StandardName[RankValueInTheRanking],StandardName[StandardizedName],ARWU_QS[[#This Row],[Nazwa uczelni]],StandardName[Ranking],$U$1)=0,$N$3,SUMIFS(StandardName[RankValueInTheRanking],StandardName[StandardizedName],ARWU_QS[[#This Row],[Nazwa uczelni]],StandardName[Ranking],$U$1))</f>
        <v>53</v>
      </c>
      <c r="V475" s="2">
        <f>IF(SUMIFS(StandardName[RankValueInTheRanking],StandardName[StandardizedName],ARWU_QS[[#This Row],[Nazwa uczelni]],StandardName[Ranking],$V$1)=0,$N$3,SUMIFS(StandardName[RankValueInTheRanking],StandardName[StandardizedName],ARWU_QS[[#This Row],[Nazwa uczelni]],StandardName[Ranking],$V$1))</f>
        <v>47</v>
      </c>
      <c r="W475" s="2">
        <f>IF(SUMIFS(StandardName[RankValueInTheRanking],StandardName[StandardizedName],ARWU_QS[[#This Row],[Nazwa uczelni]],StandardName[Ranking],$W$1)=0,$N$3,SUMIFS(StandardName[RankValueInTheRanking],StandardName[StandardizedName],ARWU_QS[[#This Row],[Nazwa uczelni]],StandardName[Ranking],$W$1))</f>
        <v>50</v>
      </c>
      <c r="X475" s="2">
        <f>IF(SUMIFS(StandardName[RankValueInTheRanking],StandardName[StandardizedName],ARWU_QS[[#This Row],[Nazwa uczelni]],StandardName[Ranking],$X$1)=0,$N$3,SUMIFS(StandardName[RankValueInTheRanking],StandardName[StandardizedName],ARWU_QS[[#This Row],[Nazwa uczelni]],StandardName[Ranking],$X$1))</f>
        <v>52</v>
      </c>
      <c r="Y475" s="2">
        <f>SUM(ARWU_QS[[#This Row],[THE_RV1000]:[Webometrics_RV1000]])</f>
        <v>202</v>
      </c>
      <c r="Z475" s="2">
        <v>53</v>
      </c>
      <c r="AA475" s="2">
        <v>47</v>
      </c>
      <c r="AB475" s="2">
        <v>50</v>
      </c>
      <c r="AC475" s="2">
        <v>52</v>
      </c>
      <c r="AD475" s="2">
        <v>53</v>
      </c>
    </row>
    <row r="476" spans="9:30" outlineLevel="1" x14ac:dyDescent="0.45">
      <c r="I476" s="2" t="s">
        <v>286</v>
      </c>
      <c r="O476" s="1" t="s">
        <v>572</v>
      </c>
      <c r="P476" s="1">
        <v>1</v>
      </c>
      <c r="Q476" s="1">
        <v>1</v>
      </c>
      <c r="R476" s="1">
        <v>1</v>
      </c>
      <c r="S476" s="1">
        <v>1</v>
      </c>
      <c r="T476" s="1">
        <v>4</v>
      </c>
      <c r="U476" s="2">
        <f>IF(SUMIFS(StandardName[RankValueInTheRanking],StandardName[StandardizedName],ARWU_QS[[#This Row],[Nazwa uczelni]],StandardName[Ranking],$U$1)=0,$N$3,SUMIFS(StandardName[RankValueInTheRanking],StandardName[StandardizedName],ARWU_QS[[#This Row],[Nazwa uczelni]],StandardName[Ranking],$U$1))</f>
        <v>54</v>
      </c>
      <c r="V476" s="2">
        <f>IF(SUMIFS(StandardName[RankValueInTheRanking],StandardName[StandardizedName],ARWU_QS[[#This Row],[Nazwa uczelni]],StandardName[Ranking],$V$1)=0,$N$3,SUMIFS(StandardName[RankValueInTheRanking],StandardName[StandardizedName],ARWU_QS[[#This Row],[Nazwa uczelni]],StandardName[Ranking],$V$1))</f>
        <v>60</v>
      </c>
      <c r="W476" s="2">
        <f>IF(SUMIFS(StandardName[RankValueInTheRanking],StandardName[StandardizedName],ARWU_QS[[#This Row],[Nazwa uczelni]],StandardName[Ranking],$W$1)=0,$N$3,SUMIFS(StandardName[RankValueInTheRanking],StandardName[StandardizedName],ARWU_QS[[#This Row],[Nazwa uczelni]],StandardName[Ranking],$W$1))</f>
        <v>41</v>
      </c>
      <c r="X476" s="2">
        <f>IF(SUMIFS(StandardName[RankValueInTheRanking],StandardName[StandardizedName],ARWU_QS[[#This Row],[Nazwa uczelni]],StandardName[Ranking],$X$1)=0,$N$3,SUMIFS(StandardName[RankValueInTheRanking],StandardName[StandardizedName],ARWU_QS[[#This Row],[Nazwa uczelni]],StandardName[Ranking],$X$1))</f>
        <v>50</v>
      </c>
      <c r="Y476" s="2">
        <f>SUM(ARWU_QS[[#This Row],[THE_RV1000]:[Webometrics_RV1000]])</f>
        <v>205</v>
      </c>
      <c r="Z476" s="1">
        <v>54</v>
      </c>
      <c r="AA476" s="1">
        <v>60</v>
      </c>
      <c r="AB476" s="1">
        <v>41</v>
      </c>
      <c r="AC476" s="1">
        <v>50</v>
      </c>
      <c r="AD476" s="2">
        <v>55</v>
      </c>
    </row>
    <row r="477" spans="9:30" outlineLevel="1" x14ac:dyDescent="0.45">
      <c r="I477" s="2" t="s">
        <v>446</v>
      </c>
      <c r="O477" s="2" t="s">
        <v>253</v>
      </c>
      <c r="P477" s="2">
        <v>1</v>
      </c>
      <c r="Q477" s="2">
        <v>1</v>
      </c>
      <c r="R477" s="2">
        <v>1</v>
      </c>
      <c r="S477" s="2">
        <v>1</v>
      </c>
      <c r="T477" s="2">
        <v>4</v>
      </c>
      <c r="U477" s="2">
        <f>IF(SUMIFS(StandardName[RankValueInTheRanking],StandardName[StandardizedName],ARWU_QS[[#This Row],[Nazwa uczelni]],StandardName[Ranking],$U$1)=0,$N$3,SUMIFS(StandardName[RankValueInTheRanking],StandardName[StandardizedName],ARWU_QS[[#This Row],[Nazwa uczelni]],StandardName[Ranking],$U$1))</f>
        <v>46</v>
      </c>
      <c r="V477" s="2">
        <f>IF(SUMIFS(StandardName[RankValueInTheRanking],StandardName[StandardizedName],ARWU_QS[[#This Row],[Nazwa uczelni]],StandardName[Ranking],$V$1)=0,$N$3,SUMIFS(StandardName[RankValueInTheRanking],StandardName[StandardizedName],ARWU_QS[[#This Row],[Nazwa uczelni]],StandardName[Ranking],$V$1))</f>
        <v>73</v>
      </c>
      <c r="W477" s="2">
        <f>IF(SUMIFS(StandardName[RankValueInTheRanking],StandardName[StandardizedName],ARWU_QS[[#This Row],[Nazwa uczelni]],StandardName[Ranking],$W$1)=0,$N$3,SUMIFS(StandardName[RankValueInTheRanking],StandardName[StandardizedName],ARWU_QS[[#This Row],[Nazwa uczelni]],StandardName[Ranking],$W$1))</f>
        <v>31</v>
      </c>
      <c r="X477" s="2">
        <f>IF(SUMIFS(StandardName[RankValueInTheRanking],StandardName[StandardizedName],ARWU_QS[[#This Row],[Nazwa uczelni]],StandardName[Ranking],$X$1)=0,$N$3,SUMIFS(StandardName[RankValueInTheRanking],StandardName[StandardizedName],ARWU_QS[[#This Row],[Nazwa uczelni]],StandardName[Ranking],$X$1))</f>
        <v>60</v>
      </c>
      <c r="Y477" s="2">
        <f>SUM(ARWU_QS[[#This Row],[THE_RV1000]:[Webometrics_RV1000]])</f>
        <v>210</v>
      </c>
      <c r="Z477" s="2">
        <v>46</v>
      </c>
      <c r="AA477" s="2">
        <v>73</v>
      </c>
      <c r="AB477" s="2">
        <v>31</v>
      </c>
      <c r="AC477" s="2">
        <v>60</v>
      </c>
      <c r="AD477" s="2">
        <v>46</v>
      </c>
    </row>
    <row r="478" spans="9:30" outlineLevel="1" x14ac:dyDescent="0.45">
      <c r="I478" s="1" t="s">
        <v>21</v>
      </c>
      <c r="O478" s="1" t="s">
        <v>355</v>
      </c>
      <c r="P478" s="1">
        <v>1</v>
      </c>
      <c r="Q478" s="1">
        <v>1</v>
      </c>
      <c r="R478" s="1">
        <v>1</v>
      </c>
      <c r="S478" s="1">
        <v>1</v>
      </c>
      <c r="T478" s="1">
        <v>4</v>
      </c>
      <c r="U478" s="2">
        <f>IF(SUMIFS(StandardName[RankValueInTheRanking],StandardName[StandardizedName],ARWU_QS[[#This Row],[Nazwa uczelni]],StandardName[Ranking],$U$1)=0,$N$3,SUMIFS(StandardName[RankValueInTheRanking],StandardName[StandardizedName],ARWU_QS[[#This Row],[Nazwa uczelni]],StandardName[Ranking],$U$1))</f>
        <v>67</v>
      </c>
      <c r="V478" s="2">
        <f>IF(SUMIFS(StandardName[RankValueInTheRanking],StandardName[StandardizedName],ARWU_QS[[#This Row],[Nazwa uczelni]],StandardName[Ranking],$V$1)=0,$N$3,SUMIFS(StandardName[RankValueInTheRanking],StandardName[StandardizedName],ARWU_QS[[#This Row],[Nazwa uczelni]],StandardName[Ranking],$V$1))</f>
        <v>36</v>
      </c>
      <c r="W478" s="2">
        <f>IF(SUMIFS(StandardName[RankValueInTheRanking],StandardName[StandardizedName],ARWU_QS[[#This Row],[Nazwa uczelni]],StandardName[Ranking],$W$1)=0,$N$3,SUMIFS(StandardName[RankValueInTheRanking],StandardName[StandardizedName],ARWU_QS[[#This Row],[Nazwa uczelni]],StandardName[Ranking],$W$1))</f>
        <v>42</v>
      </c>
      <c r="X478" s="2">
        <f>IF(SUMIFS(StandardName[RankValueInTheRanking],StandardName[StandardizedName],ARWU_QS[[#This Row],[Nazwa uczelni]],StandardName[Ranking],$X$1)=0,$N$3,SUMIFS(StandardName[RankValueInTheRanking],StandardName[StandardizedName],ARWU_QS[[#This Row],[Nazwa uczelni]],StandardName[Ranking],$X$1))</f>
        <v>68</v>
      </c>
      <c r="Y478" s="2">
        <f>SUM(ARWU_QS[[#This Row],[THE_RV1000]:[Webometrics_RV1000]])</f>
        <v>213</v>
      </c>
      <c r="Z478" s="1">
        <v>67</v>
      </c>
      <c r="AA478" s="1">
        <v>36</v>
      </c>
      <c r="AB478" s="1">
        <v>42</v>
      </c>
      <c r="AC478" s="1">
        <v>68</v>
      </c>
      <c r="AD478" s="2">
        <v>67</v>
      </c>
    </row>
    <row r="479" spans="9:30" outlineLevel="1" x14ac:dyDescent="0.45">
      <c r="I479" s="1" t="s">
        <v>616</v>
      </c>
      <c r="O479" s="2" t="s">
        <v>266</v>
      </c>
      <c r="P479" s="2">
        <v>1</v>
      </c>
      <c r="Q479" s="2">
        <v>1</v>
      </c>
      <c r="R479" s="2">
        <v>1</v>
      </c>
      <c r="S479" s="2">
        <v>1</v>
      </c>
      <c r="T479" s="2">
        <v>4</v>
      </c>
      <c r="U479" s="2">
        <f>IF(SUMIFS(StandardName[RankValueInTheRanking],StandardName[StandardizedName],ARWU_QS[[#This Row],[Nazwa uczelni]],StandardName[Ranking],$U$1)=0,$N$3,SUMIFS(StandardName[RankValueInTheRanking],StandardName[StandardizedName],ARWU_QS[[#This Row],[Nazwa uczelni]],StandardName[Ranking],$U$1))</f>
        <v>48</v>
      </c>
      <c r="V479" s="2">
        <f>IF(SUMIFS(StandardName[RankValueInTheRanking],StandardName[StandardizedName],ARWU_QS[[#This Row],[Nazwa uczelni]],StandardName[Ranking],$V$1)=0,$N$3,SUMIFS(StandardName[RankValueInTheRanking],StandardName[StandardizedName],ARWU_QS[[#This Row],[Nazwa uczelni]],StandardName[Ranking],$V$1))</f>
        <v>49</v>
      </c>
      <c r="W479" s="2">
        <f>IF(SUMIFS(StandardName[RankValueInTheRanking],StandardName[StandardizedName],ARWU_QS[[#This Row],[Nazwa uczelni]],StandardName[Ranking],$W$1)=0,$N$3,SUMIFS(StandardName[RankValueInTheRanking],StandardName[StandardizedName],ARWU_QS[[#This Row],[Nazwa uczelni]],StandardName[Ranking],$W$1))</f>
        <v>85</v>
      </c>
      <c r="X479" s="2">
        <f>IF(SUMIFS(StandardName[RankValueInTheRanking],StandardName[StandardizedName],ARWU_QS[[#This Row],[Nazwa uczelni]],StandardName[Ranking],$X$1)=0,$N$3,SUMIFS(StandardName[RankValueInTheRanking],StandardName[StandardizedName],ARWU_QS[[#This Row],[Nazwa uczelni]],StandardName[Ranking],$X$1))</f>
        <v>33</v>
      </c>
      <c r="Y479" s="2">
        <f>SUM(ARWU_QS[[#This Row],[THE_RV1000]:[Webometrics_RV1000]])</f>
        <v>215</v>
      </c>
      <c r="Z479" s="2">
        <v>48</v>
      </c>
      <c r="AA479" s="2">
        <v>49</v>
      </c>
      <c r="AB479" s="2">
        <v>85</v>
      </c>
      <c r="AC479" s="2">
        <v>33</v>
      </c>
      <c r="AD479" s="2">
        <v>48</v>
      </c>
    </row>
    <row r="480" spans="9:30" outlineLevel="1" x14ac:dyDescent="0.45">
      <c r="I480" s="2" t="s">
        <v>605</v>
      </c>
      <c r="O480" s="1" t="s">
        <v>412</v>
      </c>
      <c r="P480" s="1">
        <v>1</v>
      </c>
      <c r="Q480" s="1">
        <v>1</v>
      </c>
      <c r="R480" s="1">
        <v>1</v>
      </c>
      <c r="S480" s="1">
        <v>1</v>
      </c>
      <c r="T480" s="1">
        <v>4</v>
      </c>
      <c r="U480" s="2">
        <f>IF(SUMIFS(StandardName[RankValueInTheRanking],StandardName[StandardizedName],ARWU_QS[[#This Row],[Nazwa uczelni]],StandardName[Ranking],$U$1)=0,$N$3,SUMIFS(StandardName[RankValueInTheRanking],StandardName[StandardizedName],ARWU_QS[[#This Row],[Nazwa uczelni]],StandardName[Ranking],$U$1))</f>
        <v>81</v>
      </c>
      <c r="V480" s="2">
        <f>IF(SUMIFS(StandardName[RankValueInTheRanking],StandardName[StandardizedName],ARWU_QS[[#This Row],[Nazwa uczelni]],StandardName[Ranking],$V$1)=0,$N$3,SUMIFS(StandardName[RankValueInTheRanking],StandardName[StandardizedName],ARWU_QS[[#This Row],[Nazwa uczelni]],StandardName[Ranking],$V$1))</f>
        <v>33</v>
      </c>
      <c r="W480" s="2">
        <f>IF(SUMIFS(StandardName[RankValueInTheRanking],StandardName[StandardizedName],ARWU_QS[[#This Row],[Nazwa uczelni]],StandardName[Ranking],$W$1)=0,$N$3,SUMIFS(StandardName[RankValueInTheRanking],StandardName[StandardizedName],ARWU_QS[[#This Row],[Nazwa uczelni]],StandardName[Ranking],$W$1))</f>
        <v>83</v>
      </c>
      <c r="X480" s="2">
        <f>IF(SUMIFS(StandardName[RankValueInTheRanking],StandardName[StandardizedName],ARWU_QS[[#This Row],[Nazwa uczelni]],StandardName[Ranking],$X$1)=0,$N$3,SUMIFS(StandardName[RankValueInTheRanking],StandardName[StandardizedName],ARWU_QS[[#This Row],[Nazwa uczelni]],StandardName[Ranking],$X$1))</f>
        <v>20</v>
      </c>
      <c r="Y480" s="2">
        <f>SUM(ARWU_QS[[#This Row],[THE_RV1000]:[Webometrics_RV1000]])</f>
        <v>217</v>
      </c>
      <c r="Z480" s="1">
        <v>81</v>
      </c>
      <c r="AA480" s="1">
        <v>33</v>
      </c>
      <c r="AB480" s="1">
        <v>83</v>
      </c>
      <c r="AC480" s="1">
        <v>20</v>
      </c>
      <c r="AD480" s="2">
        <v>81</v>
      </c>
    </row>
    <row r="481" spans="9:30" outlineLevel="1" x14ac:dyDescent="0.45">
      <c r="I481" s="1" t="s">
        <v>780</v>
      </c>
      <c r="O481" s="2" t="s">
        <v>286</v>
      </c>
      <c r="P481" s="2">
        <v>1</v>
      </c>
      <c r="Q481" s="2">
        <v>1</v>
      </c>
      <c r="R481" s="2">
        <v>1</v>
      </c>
      <c r="S481" s="2">
        <v>1</v>
      </c>
      <c r="T481" s="2">
        <v>4</v>
      </c>
      <c r="U481" s="2">
        <f>IF(SUMIFS(StandardName[RankValueInTheRanking],StandardName[StandardizedName],ARWU_QS[[#This Row],[Nazwa uczelni]],StandardName[Ranking],$U$1)=0,$N$3,SUMIFS(StandardName[RankValueInTheRanking],StandardName[StandardizedName],ARWU_QS[[#This Row],[Nazwa uczelni]],StandardName[Ranking],$U$1))</f>
        <v>52</v>
      </c>
      <c r="V481" s="2">
        <f>IF(SUMIFS(StandardName[RankValueInTheRanking],StandardName[StandardizedName],ARWU_QS[[#This Row],[Nazwa uczelni]],StandardName[Ranking],$V$1)=0,$N$3,SUMIFS(StandardName[RankValueInTheRanking],StandardName[StandardizedName],ARWU_QS[[#This Row],[Nazwa uczelni]],StandardName[Ranking],$V$1))</f>
        <v>54</v>
      </c>
      <c r="W481" s="2">
        <f>IF(SUMIFS(StandardName[RankValueInTheRanking],StandardName[StandardizedName],ARWU_QS[[#This Row],[Nazwa uczelni]],StandardName[Ranking],$W$1)=0,$N$3,SUMIFS(StandardName[RankValueInTheRanking],StandardName[StandardizedName],ARWU_QS[[#This Row],[Nazwa uczelni]],StandardName[Ranking],$W$1))</f>
        <v>46</v>
      </c>
      <c r="X481" s="2">
        <f>IF(SUMIFS(StandardName[RankValueInTheRanking],StandardName[StandardizedName],ARWU_QS[[#This Row],[Nazwa uczelni]],StandardName[Ranking],$X$1)=0,$N$3,SUMIFS(StandardName[RankValueInTheRanking],StandardName[StandardizedName],ARWU_QS[[#This Row],[Nazwa uczelni]],StandardName[Ranking],$X$1))</f>
        <v>69</v>
      </c>
      <c r="Y481" s="2">
        <f>SUM(ARWU_QS[[#This Row],[THE_RV1000]:[Webometrics_RV1000]])</f>
        <v>221</v>
      </c>
      <c r="Z481" s="2">
        <v>52</v>
      </c>
      <c r="AA481" s="2">
        <v>54</v>
      </c>
      <c r="AB481" s="2">
        <v>46</v>
      </c>
      <c r="AC481" s="2">
        <v>69</v>
      </c>
      <c r="AD481" s="2">
        <v>52</v>
      </c>
    </row>
    <row r="482" spans="9:30" outlineLevel="1" x14ac:dyDescent="0.45">
      <c r="I482" s="2" t="s">
        <v>173</v>
      </c>
      <c r="O482" s="1" t="s">
        <v>810</v>
      </c>
      <c r="P482" s="1">
        <v>1</v>
      </c>
      <c r="Q482" s="1">
        <v>1</v>
      </c>
      <c r="R482" s="1">
        <v>1</v>
      </c>
      <c r="S482" s="1">
        <v>1</v>
      </c>
      <c r="T482" s="1">
        <v>4</v>
      </c>
      <c r="U482" s="2">
        <f>IF(SUMIFS(StandardName[RankValueInTheRanking],StandardName[StandardizedName],ARWU_QS[[#This Row],[Nazwa uczelni]],StandardName[Ranking],$U$1)=0,$N$3,SUMIFS(StandardName[RankValueInTheRanking],StandardName[StandardizedName],ARWU_QS[[#This Row],[Nazwa uczelni]],StandardName[Ranking],$U$1))</f>
        <v>71</v>
      </c>
      <c r="V482" s="2">
        <f>IF(SUMIFS(StandardName[RankValueInTheRanking],StandardName[StandardizedName],ARWU_QS[[#This Row],[Nazwa uczelni]],StandardName[Ranking],$V$1)=0,$N$3,SUMIFS(StandardName[RankValueInTheRanking],StandardName[StandardizedName],ARWU_QS[[#This Row],[Nazwa uczelni]],StandardName[Ranking],$V$1))</f>
        <v>64</v>
      </c>
      <c r="W482" s="2">
        <f>IF(SUMIFS(StandardName[RankValueInTheRanking],StandardName[StandardizedName],ARWU_QS[[#This Row],[Nazwa uczelni]],StandardName[Ranking],$W$1)=0,$N$3,SUMIFS(StandardName[RankValueInTheRanking],StandardName[StandardizedName],ARWU_QS[[#This Row],[Nazwa uczelni]],StandardName[Ranking],$W$1))</f>
        <v>45</v>
      </c>
      <c r="X482" s="2">
        <f>IF(SUMIFS(StandardName[RankValueInTheRanking],StandardName[StandardizedName],ARWU_QS[[#This Row],[Nazwa uczelni]],StandardName[Ranking],$X$1)=0,$N$3,SUMIFS(StandardName[RankValueInTheRanking],StandardName[StandardizedName],ARWU_QS[[#This Row],[Nazwa uczelni]],StandardName[Ranking],$X$1))</f>
        <v>41</v>
      </c>
      <c r="Y482" s="2">
        <f>SUM(ARWU_QS[[#This Row],[THE_RV1000]:[Webometrics_RV1000]])</f>
        <v>221</v>
      </c>
      <c r="Z482" s="1">
        <v>71</v>
      </c>
      <c r="AA482" s="1">
        <v>64</v>
      </c>
      <c r="AB482" s="1">
        <v>45</v>
      </c>
      <c r="AC482" s="1">
        <v>41</v>
      </c>
      <c r="AD482" s="2">
        <v>72</v>
      </c>
    </row>
    <row r="483" spans="9:30" outlineLevel="1" x14ac:dyDescent="0.45">
      <c r="I483" s="1" t="s">
        <v>609</v>
      </c>
      <c r="O483" s="2" t="s">
        <v>179</v>
      </c>
      <c r="P483" s="2">
        <v>1</v>
      </c>
      <c r="Q483" s="2">
        <v>1</v>
      </c>
      <c r="R483" s="2">
        <v>1</v>
      </c>
      <c r="S483" s="2">
        <v>1</v>
      </c>
      <c r="T483" s="2">
        <v>4</v>
      </c>
      <c r="U483" s="2">
        <f>IF(SUMIFS(StandardName[RankValueInTheRanking],StandardName[StandardizedName],ARWU_QS[[#This Row],[Nazwa uczelni]],StandardName[Ranking],$U$1)=0,$N$3,SUMIFS(StandardName[RankValueInTheRanking],StandardName[StandardizedName],ARWU_QS[[#This Row],[Nazwa uczelni]],StandardName[Ranking],$U$1))</f>
        <v>31</v>
      </c>
      <c r="V483" s="2">
        <f>IF(SUMIFS(StandardName[RankValueInTheRanking],StandardName[StandardizedName],ARWU_QS[[#This Row],[Nazwa uczelni]],StandardName[Ranking],$V$1)=0,$N$3,SUMIFS(StandardName[RankValueInTheRanking],StandardName[StandardizedName],ARWU_QS[[#This Row],[Nazwa uczelni]],StandardName[Ranking],$V$1))</f>
        <v>96</v>
      </c>
      <c r="W483" s="2">
        <f>IF(SUMIFS(StandardName[RankValueInTheRanking],StandardName[StandardizedName],ARWU_QS[[#This Row],[Nazwa uczelni]],StandardName[Ranking],$W$1)=0,$N$3,SUMIFS(StandardName[RankValueInTheRanking],StandardName[StandardizedName],ARWU_QS[[#This Row],[Nazwa uczelni]],StandardName[Ranking],$W$1))</f>
        <v>21</v>
      </c>
      <c r="X483" s="2">
        <f>IF(SUMIFS(StandardName[RankValueInTheRanking],StandardName[StandardizedName],ARWU_QS[[#This Row],[Nazwa uczelni]],StandardName[Ranking],$X$1)=0,$N$3,SUMIFS(StandardName[RankValueInTheRanking],StandardName[StandardizedName],ARWU_QS[[#This Row],[Nazwa uczelni]],StandardName[Ranking],$X$1))</f>
        <v>75</v>
      </c>
      <c r="Y483" s="2">
        <f>SUM(ARWU_QS[[#This Row],[THE_RV1000]:[Webometrics_RV1000]])</f>
        <v>223</v>
      </c>
      <c r="Z483" s="2">
        <v>31</v>
      </c>
      <c r="AA483" s="2">
        <v>96</v>
      </c>
      <c r="AB483" s="2">
        <v>21</v>
      </c>
      <c r="AC483" s="2">
        <v>75</v>
      </c>
      <c r="AD483" s="2">
        <v>31</v>
      </c>
    </row>
    <row r="484" spans="9:30" outlineLevel="1" x14ac:dyDescent="0.45">
      <c r="I484" s="2" t="s">
        <v>836</v>
      </c>
      <c r="O484" s="1" t="s">
        <v>614</v>
      </c>
      <c r="P484" s="1">
        <v>1</v>
      </c>
      <c r="Q484" s="1">
        <v>1</v>
      </c>
      <c r="R484" s="1">
        <v>1</v>
      </c>
      <c r="S484" s="1">
        <v>1</v>
      </c>
      <c r="T484" s="1">
        <v>4</v>
      </c>
      <c r="U484" s="2">
        <f>IF(SUMIFS(StandardName[RankValueInTheRanking],StandardName[StandardizedName],ARWU_QS[[#This Row],[Nazwa uczelni]],StandardName[Ranking],$U$1)=0,$N$3,SUMIFS(StandardName[RankValueInTheRanking],StandardName[StandardizedName],ARWU_QS[[#This Row],[Nazwa uczelni]],StandardName[Ranking],$U$1))</f>
        <v>36</v>
      </c>
      <c r="V484" s="2">
        <f>IF(SUMIFS(StandardName[RankValueInTheRanking],StandardName[StandardizedName],ARWU_QS[[#This Row],[Nazwa uczelni]],StandardName[Ranking],$V$1)=0,$N$3,SUMIFS(StandardName[RankValueInTheRanking],StandardName[StandardizedName],ARWU_QS[[#This Row],[Nazwa uczelni]],StandardName[Ranking],$V$1))</f>
        <v>88</v>
      </c>
      <c r="W484" s="2">
        <f>IF(SUMIFS(StandardName[RankValueInTheRanking],StandardName[StandardizedName],ARWU_QS[[#This Row],[Nazwa uczelni]],StandardName[Ranking],$W$1)=0,$N$3,SUMIFS(StandardName[RankValueInTheRanking],StandardName[StandardizedName],ARWU_QS[[#This Row],[Nazwa uczelni]],StandardName[Ranking],$W$1))</f>
        <v>19</v>
      </c>
      <c r="X484" s="2">
        <f>IF(SUMIFS(StandardName[RankValueInTheRanking],StandardName[StandardizedName],ARWU_QS[[#This Row],[Nazwa uczelni]],StandardName[Ranking],$X$1)=0,$N$3,SUMIFS(StandardName[RankValueInTheRanking],StandardName[StandardizedName],ARWU_QS[[#This Row],[Nazwa uczelni]],StandardName[Ranking],$X$1))</f>
        <v>87</v>
      </c>
      <c r="Y484" s="2">
        <f>SUM(ARWU_QS[[#This Row],[THE_RV1000]:[Webometrics_RV1000]])</f>
        <v>230</v>
      </c>
      <c r="Z484" s="1">
        <v>36</v>
      </c>
      <c r="AA484" s="1">
        <v>88</v>
      </c>
      <c r="AB484" s="1">
        <v>19</v>
      </c>
      <c r="AC484" s="1">
        <v>87</v>
      </c>
      <c r="AD484" s="2">
        <v>36</v>
      </c>
    </row>
    <row r="485" spans="9:30" outlineLevel="1" x14ac:dyDescent="0.45">
      <c r="I485" s="1" t="s">
        <v>817</v>
      </c>
      <c r="O485" s="2" t="s">
        <v>245</v>
      </c>
      <c r="P485" s="2">
        <v>1</v>
      </c>
      <c r="Q485" s="2">
        <v>1</v>
      </c>
      <c r="R485" s="2">
        <v>1</v>
      </c>
      <c r="S485" s="2">
        <v>1</v>
      </c>
      <c r="T485" s="2">
        <v>4</v>
      </c>
      <c r="U485" s="2">
        <f>IF(SUMIFS(StandardName[RankValueInTheRanking],StandardName[StandardizedName],ARWU_QS[[#This Row],[Nazwa uczelni]],StandardName[Ranking],$U$1)=0,$N$3,SUMIFS(StandardName[RankValueInTheRanking],StandardName[StandardizedName],ARWU_QS[[#This Row],[Nazwa uczelni]],StandardName[Ranking],$U$1))</f>
        <v>44</v>
      </c>
      <c r="V485" s="2">
        <f>IF(SUMIFS(StandardName[RankValueInTheRanking],StandardName[StandardizedName],ARWU_QS[[#This Row],[Nazwa uczelni]],StandardName[Ranking],$V$1)=0,$N$3,SUMIFS(StandardName[RankValueInTheRanking],StandardName[StandardizedName],ARWU_QS[[#This Row],[Nazwa uczelni]],StandardName[Ranking],$V$1))</f>
        <v>75</v>
      </c>
      <c r="W485" s="2">
        <f>IF(SUMIFS(StandardName[RankValueInTheRanking],StandardName[StandardizedName],ARWU_QS[[#This Row],[Nazwa uczelni]],StandardName[Ranking],$W$1)=0,$N$3,SUMIFS(StandardName[RankValueInTheRanking],StandardName[StandardizedName],ARWU_QS[[#This Row],[Nazwa uczelni]],StandardName[Ranking],$W$1))</f>
        <v>57</v>
      </c>
      <c r="X485" s="2">
        <f>IF(SUMIFS(StandardName[RankValueInTheRanking],StandardName[StandardizedName],ARWU_QS[[#This Row],[Nazwa uczelni]],StandardName[Ranking],$X$1)=0,$N$3,SUMIFS(StandardName[RankValueInTheRanking],StandardName[StandardizedName],ARWU_QS[[#This Row],[Nazwa uczelni]],StandardName[Ranking],$X$1))</f>
        <v>57</v>
      </c>
      <c r="Y485" s="2">
        <f>SUM(ARWU_QS[[#This Row],[THE_RV1000]:[Webometrics_RV1000]])</f>
        <v>233</v>
      </c>
      <c r="Z485" s="2">
        <v>44</v>
      </c>
      <c r="AA485" s="2">
        <v>75</v>
      </c>
      <c r="AB485" s="2">
        <v>57</v>
      </c>
      <c r="AC485" s="2">
        <v>57</v>
      </c>
      <c r="AD485" s="2">
        <v>44</v>
      </c>
    </row>
    <row r="486" spans="9:30" outlineLevel="1" x14ac:dyDescent="0.45">
      <c r="I486" s="2" t="s">
        <v>603</v>
      </c>
      <c r="O486" s="1" t="s">
        <v>337</v>
      </c>
      <c r="P486" s="1">
        <v>1</v>
      </c>
      <c r="Q486" s="1">
        <v>1</v>
      </c>
      <c r="R486" s="1">
        <v>1</v>
      </c>
      <c r="S486" s="1">
        <v>1</v>
      </c>
      <c r="T486" s="1">
        <v>4</v>
      </c>
      <c r="U486" s="2">
        <f>IF(SUMIFS(StandardName[RankValueInTheRanking],StandardName[StandardizedName],ARWU_QS[[#This Row],[Nazwa uczelni]],StandardName[Ranking],$U$1)=0,$N$3,SUMIFS(StandardName[RankValueInTheRanking],StandardName[StandardizedName],ARWU_QS[[#This Row],[Nazwa uczelni]],StandardName[Ranking],$U$1))</f>
        <v>62</v>
      </c>
      <c r="V486" s="2">
        <f>IF(SUMIFS(StandardName[RankValueInTheRanking],StandardName[StandardizedName],ARWU_QS[[#This Row],[Nazwa uczelni]],StandardName[Ranking],$V$1)=0,$N$3,SUMIFS(StandardName[RankValueInTheRanking],StandardName[StandardizedName],ARWU_QS[[#This Row],[Nazwa uczelni]],StandardName[Ranking],$V$1))</f>
        <v>79</v>
      </c>
      <c r="W486" s="2">
        <f>IF(SUMIFS(StandardName[RankValueInTheRanking],StandardName[StandardizedName],ARWU_QS[[#This Row],[Nazwa uczelni]],StandardName[Ranking],$W$1)=0,$N$3,SUMIFS(StandardName[RankValueInTheRanking],StandardName[StandardizedName],ARWU_QS[[#This Row],[Nazwa uczelni]],StandardName[Ranking],$W$1))</f>
        <v>30</v>
      </c>
      <c r="X486" s="2">
        <f>IF(SUMIFS(StandardName[RankValueInTheRanking],StandardName[StandardizedName],ARWU_QS[[#This Row],[Nazwa uczelni]],StandardName[Ranking],$X$1)=0,$N$3,SUMIFS(StandardName[RankValueInTheRanking],StandardName[StandardizedName],ARWU_QS[[#This Row],[Nazwa uczelni]],StandardName[Ranking],$X$1))</f>
        <v>79</v>
      </c>
      <c r="Y486" s="2">
        <f>SUM(ARWU_QS[[#This Row],[THE_RV1000]:[Webometrics_RV1000]])</f>
        <v>250</v>
      </c>
      <c r="Z486" s="1">
        <v>62</v>
      </c>
      <c r="AA486" s="1">
        <v>79</v>
      </c>
      <c r="AB486" s="1">
        <v>30</v>
      </c>
      <c r="AC486" s="1">
        <v>79</v>
      </c>
      <c r="AD486" s="2">
        <v>62</v>
      </c>
    </row>
    <row r="487" spans="9:30" outlineLevel="1" x14ac:dyDescent="0.45">
      <c r="I487" s="2" t="s">
        <v>319</v>
      </c>
      <c r="O487" s="2" t="s">
        <v>306</v>
      </c>
      <c r="P487" s="2">
        <v>1</v>
      </c>
      <c r="Q487" s="2">
        <v>1</v>
      </c>
      <c r="R487" s="2">
        <v>1</v>
      </c>
      <c r="S487" s="2">
        <v>1</v>
      </c>
      <c r="T487" s="2">
        <v>4</v>
      </c>
      <c r="U487" s="2">
        <f>IF(SUMIFS(StandardName[RankValueInTheRanking],StandardName[StandardizedName],ARWU_QS[[#This Row],[Nazwa uczelni]],StandardName[Ranking],$U$1)=0,$N$3,SUMIFS(StandardName[RankValueInTheRanking],StandardName[StandardizedName],ARWU_QS[[#This Row],[Nazwa uczelni]],StandardName[Ranking],$U$1))</f>
        <v>56</v>
      </c>
      <c r="V487" s="2">
        <f>IF(SUMIFS(StandardName[RankValueInTheRanking],StandardName[StandardizedName],ARWU_QS[[#This Row],[Nazwa uczelni]],StandardName[Ranking],$V$1)=0,$N$3,SUMIFS(StandardName[RankValueInTheRanking],StandardName[StandardizedName],ARWU_QS[[#This Row],[Nazwa uczelni]],StandardName[Ranking],$V$1))</f>
        <v>98</v>
      </c>
      <c r="W487" s="2">
        <f>IF(SUMIFS(StandardName[RankValueInTheRanking],StandardName[StandardizedName],ARWU_QS[[#This Row],[Nazwa uczelni]],StandardName[Ranking],$W$1)=0,$N$3,SUMIFS(StandardName[RankValueInTheRanking],StandardName[StandardizedName],ARWU_QS[[#This Row],[Nazwa uczelni]],StandardName[Ranking],$W$1))</f>
        <v>29</v>
      </c>
      <c r="X487" s="2">
        <f>IF(SUMIFS(StandardName[RankValueInTheRanking],StandardName[StandardizedName],ARWU_QS[[#This Row],[Nazwa uczelni]],StandardName[Ranking],$X$1)=0,$N$3,SUMIFS(StandardName[RankValueInTheRanking],StandardName[StandardizedName],ARWU_QS[[#This Row],[Nazwa uczelni]],StandardName[Ranking],$X$1))</f>
        <v>96</v>
      </c>
      <c r="Y487" s="2">
        <f>SUM(ARWU_QS[[#This Row],[THE_RV1000]:[Webometrics_RV1000]])</f>
        <v>279</v>
      </c>
      <c r="Z487" s="2">
        <v>56</v>
      </c>
      <c r="AA487" s="2">
        <v>98</v>
      </c>
      <c r="AB487" s="2">
        <v>29</v>
      </c>
      <c r="AC487" s="2">
        <v>96</v>
      </c>
      <c r="AD487" s="2">
        <v>56</v>
      </c>
    </row>
    <row r="488" spans="9:30" outlineLevel="1" x14ac:dyDescent="0.45">
      <c r="I488" s="1" t="s">
        <v>751</v>
      </c>
      <c r="O488" s="1" t="s">
        <v>332</v>
      </c>
      <c r="P488" s="1">
        <v>1</v>
      </c>
      <c r="Q488" s="1">
        <v>1</v>
      </c>
      <c r="R488" s="1">
        <v>1</v>
      </c>
      <c r="S488" s="1">
        <v>1</v>
      </c>
      <c r="T488" s="1">
        <v>4</v>
      </c>
      <c r="U488" s="2">
        <f>IF(SUMIFS(StandardName[RankValueInTheRanking],StandardName[StandardizedName],ARWU_QS[[#This Row],[Nazwa uczelni]],StandardName[Ranking],$U$1)=0,$N$3,SUMIFS(StandardName[RankValueInTheRanking],StandardName[StandardizedName],ARWU_QS[[#This Row],[Nazwa uczelni]],StandardName[Ranking],$U$1))</f>
        <v>61</v>
      </c>
      <c r="V488" s="2">
        <f>IF(SUMIFS(StandardName[RankValueInTheRanking],StandardName[StandardizedName],ARWU_QS[[#This Row],[Nazwa uczelni]],StandardName[Ranking],$V$1)=0,$N$3,SUMIFS(StandardName[RankValueInTheRanking],StandardName[StandardizedName],ARWU_QS[[#This Row],[Nazwa uczelni]],StandardName[Ranking],$V$1))</f>
        <v>99</v>
      </c>
      <c r="W488" s="2">
        <f>IF(SUMIFS(StandardName[RankValueInTheRanking],StandardName[StandardizedName],ARWU_QS[[#This Row],[Nazwa uczelni]],StandardName[Ranking],$W$1)=0,$N$3,SUMIFS(StandardName[RankValueInTheRanking],StandardName[StandardizedName],ARWU_QS[[#This Row],[Nazwa uczelni]],StandardName[Ranking],$W$1))</f>
        <v>63</v>
      </c>
      <c r="X488" s="2">
        <f>IF(SUMIFS(StandardName[RankValueInTheRanking],StandardName[StandardizedName],ARWU_QS[[#This Row],[Nazwa uczelni]],StandardName[Ranking],$X$1)=0,$N$3,SUMIFS(StandardName[RankValueInTheRanking],StandardName[StandardizedName],ARWU_QS[[#This Row],[Nazwa uczelni]],StandardName[Ranking],$X$1))</f>
        <v>80</v>
      </c>
      <c r="Y488" s="2">
        <f>SUM(ARWU_QS[[#This Row],[THE_RV1000]:[Webometrics_RV1000]])</f>
        <v>303</v>
      </c>
      <c r="Z488" s="1">
        <v>61</v>
      </c>
      <c r="AA488" s="1">
        <v>99</v>
      </c>
      <c r="AB488" s="1">
        <v>63</v>
      </c>
      <c r="AC488" s="1">
        <v>80</v>
      </c>
      <c r="AD488" s="2">
        <v>61</v>
      </c>
    </row>
    <row r="489" spans="9:30" outlineLevel="1" x14ac:dyDescent="0.45">
      <c r="I489" s="2" t="s">
        <v>501</v>
      </c>
      <c r="O489" s="2" t="s">
        <v>425</v>
      </c>
      <c r="P489" s="2">
        <v>1</v>
      </c>
      <c r="Q489" s="2">
        <v>1</v>
      </c>
      <c r="R489" s="2">
        <v>1</v>
      </c>
      <c r="S489" s="2">
        <v>1</v>
      </c>
      <c r="T489" s="2">
        <v>4</v>
      </c>
      <c r="U489" s="2">
        <f>IF(SUMIFS(StandardName[RankValueInTheRanking],StandardName[StandardizedName],ARWU_QS[[#This Row],[Nazwa uczelni]],StandardName[Ranking],$U$1)=0,$N$3,SUMIFS(StandardName[RankValueInTheRanking],StandardName[StandardizedName],ARWU_QS[[#This Row],[Nazwa uczelni]],StandardName[Ranking],$U$1))</f>
        <v>82</v>
      </c>
      <c r="V489" s="2">
        <f>IF(SUMIFS(StandardName[RankValueInTheRanking],StandardName[StandardizedName],ARWU_QS[[#This Row],[Nazwa uczelni]],StandardName[Ranking],$V$1)=0,$N$3,SUMIFS(StandardName[RankValueInTheRanking],StandardName[StandardizedName],ARWU_QS[[#This Row],[Nazwa uczelni]],StandardName[Ranking],$V$1))</f>
        <v>59</v>
      </c>
      <c r="W489" s="2">
        <f>IF(SUMIFS(StandardName[RankValueInTheRanking],StandardName[StandardizedName],ARWU_QS[[#This Row],[Nazwa uczelni]],StandardName[Ranking],$W$1)=0,$N$3,SUMIFS(StandardName[RankValueInTheRanking],StandardName[StandardizedName],ARWU_QS[[#This Row],[Nazwa uczelni]],StandardName[Ranking],$W$1))</f>
        <v>83</v>
      </c>
      <c r="X489" s="2">
        <f>IF(SUMIFS(StandardName[RankValueInTheRanking],StandardName[StandardizedName],ARWU_QS[[#This Row],[Nazwa uczelni]],StandardName[Ranking],$X$1)=0,$N$3,SUMIFS(StandardName[RankValueInTheRanking],StandardName[StandardizedName],ARWU_QS[[#This Row],[Nazwa uczelni]],StandardName[Ranking],$X$1))</f>
        <v>92</v>
      </c>
      <c r="Y489" s="2">
        <f>SUM(ARWU_QS[[#This Row],[THE_RV1000]:[Webometrics_RV1000]])</f>
        <v>316</v>
      </c>
      <c r="Z489" s="2">
        <v>82</v>
      </c>
      <c r="AA489" s="2">
        <v>59</v>
      </c>
      <c r="AB489" s="2">
        <v>83</v>
      </c>
      <c r="AC489" s="2">
        <v>92</v>
      </c>
      <c r="AD489" s="2">
        <v>84</v>
      </c>
    </row>
    <row r="490" spans="9:30" outlineLevel="1" x14ac:dyDescent="0.45">
      <c r="I490" s="1" t="s">
        <v>169</v>
      </c>
      <c r="O490" s="1" t="s">
        <v>385</v>
      </c>
      <c r="P490" s="1">
        <v>1</v>
      </c>
      <c r="Q490" s="1">
        <v>1</v>
      </c>
      <c r="R490" s="1">
        <v>1</v>
      </c>
      <c r="S490" s="1">
        <v>1</v>
      </c>
      <c r="T490" s="1">
        <v>4</v>
      </c>
      <c r="U490" s="2">
        <f>IF(SUMIFS(StandardName[RankValueInTheRanking],StandardName[StandardizedName],ARWU_QS[[#This Row],[Nazwa uczelni]],StandardName[Ranking],$U$1)=0,$N$3,SUMIFS(StandardName[RankValueInTheRanking],StandardName[StandardizedName],ARWU_QS[[#This Row],[Nazwa uczelni]],StandardName[Ranking],$U$1))</f>
        <v>74</v>
      </c>
      <c r="V490" s="2">
        <f>IF(SUMIFS(StandardName[RankValueInTheRanking],StandardName[StandardizedName],ARWU_QS[[#This Row],[Nazwa uczelni]],StandardName[Ranking],$V$1)=0,$N$3,SUMIFS(StandardName[RankValueInTheRanking],StandardName[StandardizedName],ARWU_QS[[#This Row],[Nazwa uczelni]],StandardName[Ranking],$V$1))</f>
        <v>62</v>
      </c>
      <c r="W490" s="2">
        <f>IF(SUMIFS(StandardName[RankValueInTheRanking],StandardName[StandardizedName],ARWU_QS[[#This Row],[Nazwa uczelni]],StandardName[Ranking],$W$1)=0,$N$3,SUMIFS(StandardName[RankValueInTheRanking],StandardName[StandardizedName],ARWU_QS[[#This Row],[Nazwa uczelni]],StandardName[Ranking],$W$1))</f>
        <v>94</v>
      </c>
      <c r="X490" s="2">
        <f>IF(SUMIFS(StandardName[RankValueInTheRanking],StandardName[StandardizedName],ARWU_QS[[#This Row],[Nazwa uczelni]],StandardName[Ranking],$X$1)=0,$N$3,SUMIFS(StandardName[RankValueInTheRanking],StandardName[StandardizedName],ARWU_QS[[#This Row],[Nazwa uczelni]],StandardName[Ranking],$X$1))</f>
        <v>95</v>
      </c>
      <c r="Y490" s="2">
        <f>SUM(ARWU_QS[[#This Row],[THE_RV1000]:[Webometrics_RV1000]])</f>
        <v>325</v>
      </c>
      <c r="Z490" s="1">
        <v>74</v>
      </c>
      <c r="AA490" s="1">
        <v>62</v>
      </c>
      <c r="AB490" s="1">
        <v>94</v>
      </c>
      <c r="AC490" s="1">
        <v>95</v>
      </c>
      <c r="AD490" s="2">
        <v>74</v>
      </c>
    </row>
    <row r="491" spans="9:30" outlineLevel="1" x14ac:dyDescent="0.45">
      <c r="I491" s="1" t="s">
        <v>179</v>
      </c>
      <c r="O491" s="2" t="s">
        <v>663</v>
      </c>
      <c r="P491" s="2">
        <v>1</v>
      </c>
      <c r="Q491" s="2">
        <v>1</v>
      </c>
      <c r="R491" s="2">
        <v>1</v>
      </c>
      <c r="S491" s="2">
        <v>0</v>
      </c>
      <c r="T491" s="2">
        <v>3</v>
      </c>
      <c r="U491" s="2">
        <f>IF(SUMIFS(StandardName[RankValueInTheRanking],StandardName[StandardizedName],ARWU_QS[[#This Row],[Nazwa uczelni]],StandardName[Ranking],$U$1)=0,$N$3,SUMIFS(StandardName[RankValueInTheRanking],StandardName[StandardizedName],ARWU_QS[[#This Row],[Nazwa uczelni]],StandardName[Ranking],$U$1))</f>
        <v>47</v>
      </c>
      <c r="V491" s="2">
        <f>IF(SUMIFS(StandardName[RankValueInTheRanking],StandardName[StandardizedName],ARWU_QS[[#This Row],[Nazwa uczelni]],StandardName[Ranking],$V$1)=0,$N$3,SUMIFS(StandardName[RankValueInTheRanking],StandardName[StandardizedName],ARWU_QS[[#This Row],[Nazwa uczelni]],StandardName[Ranking],$V$1))</f>
        <v>40</v>
      </c>
      <c r="W491" s="2">
        <f>IF(SUMIFS(StandardName[RankValueInTheRanking],StandardName[StandardizedName],ARWU_QS[[#This Row],[Nazwa uczelni]],StandardName[Ranking],$W$1)=0,$N$3,SUMIFS(StandardName[RankValueInTheRanking],StandardName[StandardizedName],ARWU_QS[[#This Row],[Nazwa uczelni]],StandardName[Ranking],$W$1))</f>
        <v>26</v>
      </c>
      <c r="X491" s="2">
        <f>IF(SUMIFS(StandardName[RankValueInTheRanking],StandardName[StandardizedName],ARWU_QS[[#This Row],[Nazwa uczelni]],StandardName[Ranking],$X$1)=0,$N$3,SUMIFS(StandardName[RankValueInTheRanking],StandardName[StandardizedName],ARWU_QS[[#This Row],[Nazwa uczelni]],StandardName[Ranking],$X$1))</f>
        <v>250</v>
      </c>
      <c r="Y491" s="2">
        <f>SUM(ARWU_QS[[#This Row],[THE_RV1000]:[Webometrics_RV1000]])</f>
        <v>363</v>
      </c>
      <c r="Z491" s="2">
        <v>47</v>
      </c>
      <c r="AA491" s="2">
        <v>40</v>
      </c>
      <c r="AB491" s="2">
        <v>26</v>
      </c>
      <c r="AC491" s="2">
        <v>0</v>
      </c>
      <c r="AD491" s="2">
        <v>47</v>
      </c>
    </row>
    <row r="492" spans="9:30" outlineLevel="1" x14ac:dyDescent="0.45">
      <c r="I492" s="1" t="s">
        <v>296</v>
      </c>
      <c r="O492" s="1" t="s">
        <v>173</v>
      </c>
      <c r="P492" s="1">
        <v>1</v>
      </c>
      <c r="Q492" s="1">
        <v>1</v>
      </c>
      <c r="R492" s="1">
        <v>1</v>
      </c>
      <c r="S492" s="1">
        <v>0</v>
      </c>
      <c r="T492" s="1">
        <v>3</v>
      </c>
      <c r="U492" s="2">
        <f>IF(SUMIFS(StandardName[RankValueInTheRanking],StandardName[StandardizedName],ARWU_QS[[#This Row],[Nazwa uczelni]],StandardName[Ranking],$U$1)=0,$N$3,SUMIFS(StandardName[RankValueInTheRanking],StandardName[StandardizedName],ARWU_QS[[#This Row],[Nazwa uczelni]],StandardName[Ranking],$U$1))</f>
        <v>30</v>
      </c>
      <c r="V492" s="2">
        <f>IF(SUMIFS(StandardName[RankValueInTheRanking],StandardName[StandardizedName],ARWU_QS[[#This Row],[Nazwa uczelni]],StandardName[Ranking],$V$1)=0,$N$3,SUMIFS(StandardName[RankValueInTheRanking],StandardName[StandardizedName],ARWU_QS[[#This Row],[Nazwa uczelni]],StandardName[Ranking],$V$1))</f>
        <v>56</v>
      </c>
      <c r="W492" s="2">
        <f>IF(SUMIFS(StandardName[RankValueInTheRanking],StandardName[StandardizedName],ARWU_QS[[#This Row],[Nazwa uczelni]],StandardName[Ranking],$W$1)=0,$N$3,SUMIFS(StandardName[RankValueInTheRanking],StandardName[StandardizedName],ARWU_QS[[#This Row],[Nazwa uczelni]],StandardName[Ranking],$W$1))</f>
        <v>49</v>
      </c>
      <c r="X492" s="2">
        <f>IF(SUMIFS(StandardName[RankValueInTheRanking],StandardName[StandardizedName],ARWU_QS[[#This Row],[Nazwa uczelni]],StandardName[Ranking],$X$1)=0,$N$3,SUMIFS(StandardName[RankValueInTheRanking],StandardName[StandardizedName],ARWU_QS[[#This Row],[Nazwa uczelni]],StandardName[Ranking],$X$1))</f>
        <v>250</v>
      </c>
      <c r="Y492" s="2">
        <f>SUM(ARWU_QS[[#This Row],[THE_RV1000]:[Webometrics_RV1000]])</f>
        <v>385</v>
      </c>
      <c r="Z492" s="1">
        <v>30</v>
      </c>
      <c r="AA492" s="1">
        <v>56</v>
      </c>
      <c r="AB492" s="1">
        <v>49</v>
      </c>
      <c r="AC492" s="1">
        <v>0</v>
      </c>
      <c r="AD492" s="2">
        <v>30</v>
      </c>
    </row>
    <row r="493" spans="9:30" outlineLevel="1" x14ac:dyDescent="0.45">
      <c r="I493" s="1" t="s">
        <v>194</v>
      </c>
      <c r="O493" s="2" t="s">
        <v>360</v>
      </c>
      <c r="P493" s="2">
        <v>1</v>
      </c>
      <c r="Q493" s="2">
        <v>1</v>
      </c>
      <c r="R493" s="2">
        <v>1</v>
      </c>
      <c r="S493" s="2">
        <v>0</v>
      </c>
      <c r="T493" s="2">
        <v>3</v>
      </c>
      <c r="U493" s="2">
        <f>IF(SUMIFS(StandardName[RankValueInTheRanking],StandardName[StandardizedName],ARWU_QS[[#This Row],[Nazwa uczelni]],StandardName[Ranking],$U$1)=0,$N$3,SUMIFS(StandardName[RankValueInTheRanking],StandardName[StandardizedName],ARWU_QS[[#This Row],[Nazwa uczelni]],StandardName[Ranking],$U$1))</f>
        <v>68</v>
      </c>
      <c r="V493" s="2">
        <f>IF(SUMIFS(StandardName[RankValueInTheRanking],StandardName[StandardizedName],ARWU_QS[[#This Row],[Nazwa uczelni]],StandardName[Ranking],$V$1)=0,$N$3,SUMIFS(StandardName[RankValueInTheRanking],StandardName[StandardizedName],ARWU_QS[[#This Row],[Nazwa uczelni]],StandardName[Ranking],$V$1))</f>
        <v>41</v>
      </c>
      <c r="W493" s="2">
        <f>IF(SUMIFS(StandardName[RankValueInTheRanking],StandardName[StandardizedName],ARWU_QS[[#This Row],[Nazwa uczelni]],StandardName[Ranking],$W$1)=0,$N$3,SUMIFS(StandardName[RankValueInTheRanking],StandardName[StandardizedName],ARWU_QS[[#This Row],[Nazwa uczelni]],StandardName[Ranking],$W$1))</f>
        <v>36</v>
      </c>
      <c r="X493" s="2">
        <f>IF(SUMIFS(StandardName[RankValueInTheRanking],StandardName[StandardizedName],ARWU_QS[[#This Row],[Nazwa uczelni]],StandardName[Ranking],$X$1)=0,$N$3,SUMIFS(StandardName[RankValueInTheRanking],StandardName[StandardizedName],ARWU_QS[[#This Row],[Nazwa uczelni]],StandardName[Ranking],$X$1))</f>
        <v>250</v>
      </c>
      <c r="Y493" s="2">
        <f>SUM(ARWU_QS[[#This Row],[THE_RV1000]:[Webometrics_RV1000]])</f>
        <v>395</v>
      </c>
      <c r="Z493" s="2">
        <v>68</v>
      </c>
      <c r="AA493" s="2">
        <v>41</v>
      </c>
      <c r="AB493" s="2">
        <v>36</v>
      </c>
      <c r="AC493" s="2">
        <v>0</v>
      </c>
      <c r="AD493" s="2">
        <v>68</v>
      </c>
    </row>
    <row r="494" spans="9:30" outlineLevel="1" x14ac:dyDescent="0.45">
      <c r="I494" s="1" t="s">
        <v>810</v>
      </c>
      <c r="O494" s="1" t="s">
        <v>282</v>
      </c>
      <c r="P494" s="1">
        <v>1</v>
      </c>
      <c r="Q494" s="1">
        <v>1</v>
      </c>
      <c r="R494" s="1">
        <v>1</v>
      </c>
      <c r="S494" s="1">
        <v>0</v>
      </c>
      <c r="T494" s="1">
        <v>3</v>
      </c>
      <c r="U494" s="2">
        <f>IF(SUMIFS(StandardName[RankValueInTheRanking],StandardName[StandardizedName],ARWU_QS[[#This Row],[Nazwa uczelni]],StandardName[Ranking],$U$1)=0,$N$3,SUMIFS(StandardName[RankValueInTheRanking],StandardName[StandardizedName],ARWU_QS[[#This Row],[Nazwa uczelni]],StandardName[Ranking],$U$1))</f>
        <v>51</v>
      </c>
      <c r="V494" s="2">
        <f>IF(SUMIFS(StandardName[RankValueInTheRanking],StandardName[StandardizedName],ARWU_QS[[#This Row],[Nazwa uczelni]],StandardName[Ranking],$V$1)=0,$N$3,SUMIFS(StandardName[RankValueInTheRanking],StandardName[StandardizedName],ARWU_QS[[#This Row],[Nazwa uczelni]],StandardName[Ranking],$V$1))</f>
        <v>67</v>
      </c>
      <c r="W494" s="2">
        <f>IF(SUMIFS(StandardName[RankValueInTheRanking],StandardName[StandardizedName],ARWU_QS[[#This Row],[Nazwa uczelni]],StandardName[Ranking],$W$1)=0,$N$3,SUMIFS(StandardName[RankValueInTheRanking],StandardName[StandardizedName],ARWU_QS[[#This Row],[Nazwa uczelni]],StandardName[Ranking],$W$1))</f>
        <v>34</v>
      </c>
      <c r="X494" s="2">
        <f>IF(SUMIFS(StandardName[RankValueInTheRanking],StandardName[StandardizedName],ARWU_QS[[#This Row],[Nazwa uczelni]],StandardName[Ranking],$X$1)=0,$N$3,SUMIFS(StandardName[RankValueInTheRanking],StandardName[StandardizedName],ARWU_QS[[#This Row],[Nazwa uczelni]],StandardName[Ranking],$X$1))</f>
        <v>250</v>
      </c>
      <c r="Y494" s="2">
        <f>SUM(ARWU_QS[[#This Row],[THE_RV1000]:[Webometrics_RV1000]])</f>
        <v>402</v>
      </c>
      <c r="Z494" s="1">
        <v>51</v>
      </c>
      <c r="AA494" s="1">
        <v>67</v>
      </c>
      <c r="AB494" s="1">
        <v>34</v>
      </c>
      <c r="AC494" s="1">
        <v>0</v>
      </c>
      <c r="AD494" s="2">
        <v>51</v>
      </c>
    </row>
    <row r="495" spans="9:30" outlineLevel="1" x14ac:dyDescent="0.45">
      <c r="I495" s="1" t="s">
        <v>816</v>
      </c>
      <c r="O495" s="2" t="s">
        <v>456</v>
      </c>
      <c r="P495" s="2">
        <v>1</v>
      </c>
      <c r="Q495" s="2">
        <v>1</v>
      </c>
      <c r="R495" s="2">
        <v>1</v>
      </c>
      <c r="S495" s="2">
        <v>0</v>
      </c>
      <c r="T495" s="2">
        <v>3</v>
      </c>
      <c r="U495" s="2">
        <f>IF(SUMIFS(StandardName[RankValueInTheRanking],StandardName[StandardizedName],ARWU_QS[[#This Row],[Nazwa uczelni]],StandardName[Ranking],$U$1)=0,$N$3,SUMIFS(StandardName[RankValueInTheRanking],StandardName[StandardizedName],ARWU_QS[[#This Row],[Nazwa uczelni]],StandardName[Ranking],$U$1))</f>
        <v>93</v>
      </c>
      <c r="V495" s="2">
        <f>IF(SUMIFS(StandardName[RankValueInTheRanking],StandardName[StandardizedName],ARWU_QS[[#This Row],[Nazwa uczelni]],StandardName[Ranking],$V$1)=0,$N$3,SUMIFS(StandardName[RankValueInTheRanking],StandardName[StandardizedName],ARWU_QS[[#This Row],[Nazwa uczelni]],StandardName[Ranking],$V$1))</f>
        <v>16</v>
      </c>
      <c r="W495" s="2">
        <f>IF(SUMIFS(StandardName[RankValueInTheRanking],StandardName[StandardizedName],ARWU_QS[[#This Row],[Nazwa uczelni]],StandardName[Ranking],$W$1)=0,$N$3,SUMIFS(StandardName[RankValueInTheRanking],StandardName[StandardizedName],ARWU_QS[[#This Row],[Nazwa uczelni]],StandardName[Ranking],$W$1))</f>
        <v>69</v>
      </c>
      <c r="X495" s="2">
        <f>IF(SUMIFS(StandardName[RankValueInTheRanking],StandardName[StandardizedName],ARWU_QS[[#This Row],[Nazwa uczelni]],StandardName[Ranking],$X$1)=0,$N$3,SUMIFS(StandardName[RankValueInTheRanking],StandardName[StandardizedName],ARWU_QS[[#This Row],[Nazwa uczelni]],StandardName[Ranking],$X$1))</f>
        <v>250</v>
      </c>
      <c r="Y495" s="2">
        <f>SUM(ARWU_QS[[#This Row],[THE_RV1000]:[Webometrics_RV1000]])</f>
        <v>428</v>
      </c>
      <c r="Z495" s="2">
        <v>93</v>
      </c>
      <c r="AA495" s="2">
        <v>16</v>
      </c>
      <c r="AB495" s="2">
        <v>69</v>
      </c>
      <c r="AC495" s="2">
        <v>0</v>
      </c>
      <c r="AD495" s="2">
        <v>93</v>
      </c>
    </row>
    <row r="496" spans="9:30" outlineLevel="1" x14ac:dyDescent="0.45">
      <c r="I496" s="2" t="s">
        <v>773</v>
      </c>
      <c r="O496" s="1" t="s">
        <v>446</v>
      </c>
      <c r="P496" s="1">
        <v>1</v>
      </c>
      <c r="Q496" s="1">
        <v>1</v>
      </c>
      <c r="R496" s="1">
        <v>1</v>
      </c>
      <c r="S496" s="1">
        <v>0</v>
      </c>
      <c r="T496" s="1">
        <v>3</v>
      </c>
      <c r="U496" s="2">
        <f>IF(SUMIFS(StandardName[RankValueInTheRanking],StandardName[StandardizedName],ARWU_QS[[#This Row],[Nazwa uczelni]],StandardName[Ranking],$U$1)=0,$N$3,SUMIFS(StandardName[RankValueInTheRanking],StandardName[StandardizedName],ARWU_QS[[#This Row],[Nazwa uczelni]],StandardName[Ranking],$U$1))</f>
        <v>90</v>
      </c>
      <c r="V496" s="2">
        <f>IF(SUMIFS(StandardName[RankValueInTheRanking],StandardName[StandardizedName],ARWU_QS[[#This Row],[Nazwa uczelni]],StandardName[Ranking],$V$1)=0,$N$3,SUMIFS(StandardName[RankValueInTheRanking],StandardName[StandardizedName],ARWU_QS[[#This Row],[Nazwa uczelni]],StandardName[Ranking],$V$1))</f>
        <v>43</v>
      </c>
      <c r="W496" s="2">
        <f>IF(SUMIFS(StandardName[RankValueInTheRanking],StandardName[StandardizedName],ARWU_QS[[#This Row],[Nazwa uczelni]],StandardName[Ranking],$W$1)=0,$N$3,SUMIFS(StandardName[RankValueInTheRanking],StandardName[StandardizedName],ARWU_QS[[#This Row],[Nazwa uczelni]],StandardName[Ranking],$W$1))</f>
        <v>60</v>
      </c>
      <c r="X496" s="2">
        <f>IF(SUMIFS(StandardName[RankValueInTheRanking],StandardName[StandardizedName],ARWU_QS[[#This Row],[Nazwa uczelni]],StandardName[Ranking],$X$1)=0,$N$3,SUMIFS(StandardName[RankValueInTheRanking],StandardName[StandardizedName],ARWU_QS[[#This Row],[Nazwa uczelni]],StandardName[Ranking],$X$1))</f>
        <v>250</v>
      </c>
      <c r="Y496" s="2">
        <f>SUM(ARWU_QS[[#This Row],[THE_RV1000]:[Webometrics_RV1000]])</f>
        <v>443</v>
      </c>
      <c r="Z496" s="1">
        <v>90</v>
      </c>
      <c r="AA496" s="1">
        <v>43</v>
      </c>
      <c r="AB496" s="1">
        <v>60</v>
      </c>
      <c r="AC496" s="1">
        <v>0</v>
      </c>
      <c r="AD496" s="2">
        <v>90</v>
      </c>
    </row>
    <row r="497" spans="9:30" outlineLevel="1" x14ac:dyDescent="0.45">
      <c r="I497" s="1" t="s">
        <v>572</v>
      </c>
      <c r="O497" s="2" t="s">
        <v>545</v>
      </c>
      <c r="P497" s="2">
        <v>0</v>
      </c>
      <c r="Q497" s="2">
        <v>1</v>
      </c>
      <c r="R497" s="2">
        <v>1</v>
      </c>
      <c r="S497" s="2">
        <v>1</v>
      </c>
      <c r="T497" s="2">
        <v>3</v>
      </c>
      <c r="U497" s="2">
        <f>IF(SUMIFS(StandardName[RankValueInTheRanking],StandardName[StandardizedName],ARWU_QS[[#This Row],[Nazwa uczelni]],StandardName[Ranking],$U$1)=0,$N$3,SUMIFS(StandardName[RankValueInTheRanking],StandardName[StandardizedName],ARWU_QS[[#This Row],[Nazwa uczelni]],StandardName[Ranking],$U$1))</f>
        <v>250</v>
      </c>
      <c r="V497" s="2">
        <f>IF(SUMIFS(StandardName[RankValueInTheRanking],StandardName[StandardizedName],ARWU_QS[[#This Row],[Nazwa uczelni]],StandardName[Ranking],$V$1)=0,$N$3,SUMIFS(StandardName[RankValueInTheRanking],StandardName[StandardizedName],ARWU_QS[[#This Row],[Nazwa uczelni]],StandardName[Ranking],$V$1))</f>
        <v>39</v>
      </c>
      <c r="W497" s="2">
        <f>IF(SUMIFS(StandardName[RankValueInTheRanking],StandardName[StandardizedName],ARWU_QS[[#This Row],[Nazwa uczelni]],StandardName[Ranking],$W$1)=0,$N$3,SUMIFS(StandardName[RankValueInTheRanking],StandardName[StandardizedName],ARWU_QS[[#This Row],[Nazwa uczelni]],StandardName[Ranking],$W$1))</f>
        <v>82</v>
      </c>
      <c r="X497" s="2">
        <f>IF(SUMIFS(StandardName[RankValueInTheRanking],StandardName[StandardizedName],ARWU_QS[[#This Row],[Nazwa uczelni]],StandardName[Ranking],$X$1)=0,$N$3,SUMIFS(StandardName[RankValueInTheRanking],StandardName[StandardizedName],ARWU_QS[[#This Row],[Nazwa uczelni]],StandardName[Ranking],$X$1))</f>
        <v>74</v>
      </c>
      <c r="Y497" s="2">
        <f>SUM(ARWU_QS[[#This Row],[THE_RV1000]:[Webometrics_RV1000]])</f>
        <v>445</v>
      </c>
      <c r="Z497" s="2">
        <v>0</v>
      </c>
      <c r="AA497" s="2">
        <v>39</v>
      </c>
      <c r="AB497" s="2">
        <v>82</v>
      </c>
      <c r="AC497" s="2">
        <v>74</v>
      </c>
      <c r="AD497" s="2">
        <v>0</v>
      </c>
    </row>
    <row r="498" spans="9:30" outlineLevel="1" x14ac:dyDescent="0.45">
      <c r="I498" s="1" t="s">
        <v>276</v>
      </c>
      <c r="O498" s="1" t="s">
        <v>234</v>
      </c>
      <c r="P498" s="1">
        <v>1</v>
      </c>
      <c r="Q498" s="1">
        <v>1</v>
      </c>
      <c r="R498" s="1">
        <v>1</v>
      </c>
      <c r="S498" s="1">
        <v>0</v>
      </c>
      <c r="T498" s="1">
        <v>3</v>
      </c>
      <c r="U498" s="2">
        <f>IF(SUMIFS(StandardName[RankValueInTheRanking],StandardName[StandardizedName],ARWU_QS[[#This Row],[Nazwa uczelni]],StandardName[Ranking],$U$1)=0,$N$3,SUMIFS(StandardName[RankValueInTheRanking],StandardName[StandardizedName],ARWU_QS[[#This Row],[Nazwa uczelni]],StandardName[Ranking],$U$1))</f>
        <v>42</v>
      </c>
      <c r="V498" s="2">
        <f>IF(SUMIFS(StandardName[RankValueInTheRanking],StandardName[StandardizedName],ARWU_QS[[#This Row],[Nazwa uczelni]],StandardName[Ranking],$V$1)=0,$N$3,SUMIFS(StandardName[RankValueInTheRanking],StandardName[StandardizedName],ARWU_QS[[#This Row],[Nazwa uczelni]],StandardName[Ranking],$V$1))</f>
        <v>95</v>
      </c>
      <c r="W498" s="2">
        <f>IF(SUMIFS(StandardName[RankValueInTheRanking],StandardName[StandardizedName],ARWU_QS[[#This Row],[Nazwa uczelni]],StandardName[Ranking],$W$1)=0,$N$3,SUMIFS(StandardName[RankValueInTheRanking],StandardName[StandardizedName],ARWU_QS[[#This Row],[Nazwa uczelni]],StandardName[Ranking],$W$1))</f>
        <v>76</v>
      </c>
      <c r="X498" s="2">
        <f>IF(SUMIFS(StandardName[RankValueInTheRanking],StandardName[StandardizedName],ARWU_QS[[#This Row],[Nazwa uczelni]],StandardName[Ranking],$X$1)=0,$N$3,SUMIFS(StandardName[RankValueInTheRanking],StandardName[StandardizedName],ARWU_QS[[#This Row],[Nazwa uczelni]],StandardName[Ranking],$X$1))</f>
        <v>250</v>
      </c>
      <c r="Y498" s="2">
        <f>SUM(ARWU_QS[[#This Row],[THE_RV1000]:[Webometrics_RV1000]])</f>
        <v>463</v>
      </c>
      <c r="Z498" s="1">
        <v>42</v>
      </c>
      <c r="AA498" s="1">
        <v>95</v>
      </c>
      <c r="AB498" s="1">
        <v>76</v>
      </c>
      <c r="AC498" s="1">
        <v>0</v>
      </c>
      <c r="AD498" s="2">
        <v>42</v>
      </c>
    </row>
    <row r="499" spans="9:30" outlineLevel="1" x14ac:dyDescent="0.45">
      <c r="I499" s="2" t="s">
        <v>601</v>
      </c>
      <c r="O499" s="2" t="s">
        <v>392</v>
      </c>
      <c r="P499" s="2">
        <v>1</v>
      </c>
      <c r="Q499" s="2">
        <v>1</v>
      </c>
      <c r="R499" s="2">
        <v>1</v>
      </c>
      <c r="S499" s="2">
        <v>0</v>
      </c>
      <c r="T499" s="2">
        <v>3</v>
      </c>
      <c r="U499" s="2">
        <f>IF(SUMIFS(StandardName[RankValueInTheRanking],StandardName[StandardizedName],ARWU_QS[[#This Row],[Nazwa uczelni]],StandardName[Ranking],$U$1)=0,$N$3,SUMIFS(StandardName[RankValueInTheRanking],StandardName[StandardizedName],ARWU_QS[[#This Row],[Nazwa uczelni]],StandardName[Ranking],$U$1))</f>
        <v>76</v>
      </c>
      <c r="V499" s="2">
        <f>IF(SUMIFS(StandardName[RankValueInTheRanking],StandardName[StandardizedName],ARWU_QS[[#This Row],[Nazwa uczelni]],StandardName[Ranking],$V$1)=0,$N$3,SUMIFS(StandardName[RankValueInTheRanking],StandardName[StandardizedName],ARWU_QS[[#This Row],[Nazwa uczelni]],StandardName[Ranking],$V$1))</f>
        <v>81</v>
      </c>
      <c r="W499" s="2">
        <f>IF(SUMIFS(StandardName[RankValueInTheRanking],StandardName[StandardizedName],ARWU_QS[[#This Row],[Nazwa uczelni]],StandardName[Ranking],$W$1)=0,$N$3,SUMIFS(StandardName[RankValueInTheRanking],StandardName[StandardizedName],ARWU_QS[[#This Row],[Nazwa uczelni]],StandardName[Ranking],$W$1))</f>
        <v>61</v>
      </c>
      <c r="X499" s="2">
        <f>IF(SUMIFS(StandardName[RankValueInTheRanking],StandardName[StandardizedName],ARWU_QS[[#This Row],[Nazwa uczelni]],StandardName[Ranking],$X$1)=0,$N$3,SUMIFS(StandardName[RankValueInTheRanking],StandardName[StandardizedName],ARWU_QS[[#This Row],[Nazwa uczelni]],StandardName[Ranking],$X$1))</f>
        <v>250</v>
      </c>
      <c r="Y499" s="2">
        <f>SUM(ARWU_QS[[#This Row],[THE_RV1000]:[Webometrics_RV1000]])</f>
        <v>468</v>
      </c>
      <c r="Z499" s="2">
        <v>76</v>
      </c>
      <c r="AA499" s="2">
        <v>81</v>
      </c>
      <c r="AB499" s="2">
        <v>61</v>
      </c>
      <c r="AC499" s="2">
        <v>0</v>
      </c>
      <c r="AD499" s="2">
        <v>76</v>
      </c>
    </row>
    <row r="500" spans="9:30" outlineLevel="1" x14ac:dyDescent="0.45">
      <c r="I500" s="1" t="s">
        <v>565</v>
      </c>
      <c r="O500" s="1" t="s">
        <v>622</v>
      </c>
      <c r="P500" s="1">
        <v>0</v>
      </c>
      <c r="Q500" s="1">
        <v>1</v>
      </c>
      <c r="R500" s="1">
        <v>1</v>
      </c>
      <c r="S500" s="1">
        <v>0</v>
      </c>
      <c r="T500" s="1">
        <v>2</v>
      </c>
      <c r="U500" s="2">
        <f>IF(SUMIFS(StandardName[RankValueInTheRanking],StandardName[StandardizedName],ARWU_QS[[#This Row],[Nazwa uczelni]],StandardName[Ranking],$U$1)=0,$N$3,SUMIFS(StandardName[RankValueInTheRanking],StandardName[StandardizedName],ARWU_QS[[#This Row],[Nazwa uczelni]],StandardName[Ranking],$U$1))</f>
        <v>250</v>
      </c>
      <c r="V500" s="2">
        <f>IF(SUMIFS(StandardName[RankValueInTheRanking],StandardName[StandardizedName],ARWU_QS[[#This Row],[Nazwa uczelni]],StandardName[Ranking],$V$1)=0,$N$3,SUMIFS(StandardName[RankValueInTheRanking],StandardName[StandardizedName],ARWU_QS[[#This Row],[Nazwa uczelni]],StandardName[Ranking],$V$1))</f>
        <v>99</v>
      </c>
      <c r="W500" s="2">
        <f>IF(SUMIFS(StandardName[RankValueInTheRanking],StandardName[StandardizedName],ARWU_QS[[#This Row],[Nazwa uczelni]],StandardName[Ranking],$W$1)=0,$N$3,SUMIFS(StandardName[RankValueInTheRanking],StandardName[StandardizedName],ARWU_QS[[#This Row],[Nazwa uczelni]],StandardName[Ranking],$W$1))</f>
        <v>90</v>
      </c>
      <c r="X500" s="2">
        <f>IF(SUMIFS(StandardName[RankValueInTheRanking],StandardName[StandardizedName],ARWU_QS[[#This Row],[Nazwa uczelni]],StandardName[Ranking],$X$1)=0,$N$3,SUMIFS(StandardName[RankValueInTheRanking],StandardName[StandardizedName],ARWU_QS[[#This Row],[Nazwa uczelni]],StandardName[Ranking],$X$1))</f>
        <v>250</v>
      </c>
      <c r="Y500" s="2">
        <f>SUM(ARWU_QS[[#This Row],[THE_RV1000]:[Webometrics_RV1000]])</f>
        <v>689</v>
      </c>
      <c r="Z500" s="1">
        <v>0</v>
      </c>
      <c r="AA500" s="1">
        <v>99</v>
      </c>
      <c r="AB500" s="1">
        <v>90</v>
      </c>
      <c r="AC500" s="1">
        <v>0</v>
      </c>
      <c r="AD500" s="2">
        <v>0</v>
      </c>
    </row>
    <row r="501" spans="9:30" x14ac:dyDescent="0.45">
      <c r="I501" s="2" t="s">
        <v>854</v>
      </c>
    </row>
    <row r="502" spans="9:30" x14ac:dyDescent="0.45">
      <c r="I502" s="1" t="s">
        <v>715</v>
      </c>
      <c r="O502" t="s">
        <v>885</v>
      </c>
    </row>
    <row r="503" spans="9:30" x14ac:dyDescent="0.45">
      <c r="I503" s="2" t="s">
        <v>622</v>
      </c>
      <c r="O503" s="7" t="s">
        <v>855</v>
      </c>
      <c r="P503" s="7" t="s">
        <v>846</v>
      </c>
      <c r="Q503" s="7" t="s">
        <v>848</v>
      </c>
      <c r="R503" s="7" t="s">
        <v>849</v>
      </c>
      <c r="S503" s="7" t="s">
        <v>850</v>
      </c>
      <c r="T503" s="7" t="s">
        <v>861</v>
      </c>
      <c r="U503" s="7" t="s">
        <v>875</v>
      </c>
      <c r="V503" s="7" t="s">
        <v>876</v>
      </c>
      <c r="W503" s="7" t="s">
        <v>877</v>
      </c>
      <c r="X503" s="7" t="s">
        <v>878</v>
      </c>
      <c r="Y503" s="7" t="s">
        <v>874</v>
      </c>
      <c r="Z503" s="7" t="s">
        <v>870</v>
      </c>
      <c r="AA503" s="7" t="s">
        <v>871</v>
      </c>
      <c r="AB503" s="7" t="s">
        <v>872</v>
      </c>
      <c r="AC503" s="7" t="s">
        <v>873</v>
      </c>
    </row>
    <row r="504" spans="9:30" outlineLevel="1" x14ac:dyDescent="0.45">
      <c r="I504" s="2" t="s">
        <v>742</v>
      </c>
      <c r="O504" s="1" t="s">
        <v>8</v>
      </c>
      <c r="P504" s="1">
        <v>1</v>
      </c>
      <c r="Q504" s="1">
        <v>1</v>
      </c>
      <c r="R504" s="1">
        <v>1</v>
      </c>
      <c r="S504" s="1">
        <v>1</v>
      </c>
      <c r="T504" s="1">
        <v>4</v>
      </c>
      <c r="U504" s="2">
        <f>IF(SUMIFS(StandardName[RankValueInTheRanking],StandardName[StandardizedName],ARWU_Webometrics[[#This Row],[Nazwa uczelni]],StandardName[Ranking],$U$1)=0,$N$3,SUMIFS(StandardName[RankValueInTheRanking],StandardName[StandardizedName],ARWU_Webometrics[[#This Row],[Nazwa uczelni]],StandardName[Ranking],$U$1))</f>
        <v>2</v>
      </c>
      <c r="V504" s="2">
        <f>IF(SUMIFS(StandardName[RankValueInTheRanking],StandardName[StandardizedName],ARWU_Webometrics[[#This Row],[Nazwa uczelni]],StandardName[Ranking],$V$1)=0,$N$3,SUMIFS(StandardName[RankValueInTheRanking],StandardName[StandardizedName],ARWU_Webometrics[[#This Row],[Nazwa uczelni]],StandardName[Ranking],$V$1))</f>
        <v>1</v>
      </c>
      <c r="W504" s="2">
        <f>IF(SUMIFS(StandardName[RankValueInTheRanking],StandardName[StandardizedName],ARWU_Webometrics[[#This Row],[Nazwa uczelni]],StandardName[Ranking],$W$1)=0,$N$3,SUMIFS(StandardName[RankValueInTheRanking],StandardName[StandardizedName],ARWU_Webometrics[[#This Row],[Nazwa uczelni]],StandardName[Ranking],$W$1))</f>
        <v>5</v>
      </c>
      <c r="X504" s="2">
        <f>IF(SUMIFS(StandardName[RankValueInTheRanking],StandardName[StandardizedName],ARWU_Webometrics[[#This Row],[Nazwa uczelni]],StandardName[Ranking],$X$1)=0,$N$3,SUMIFS(StandardName[RankValueInTheRanking],StandardName[StandardizedName],ARWU_Webometrics[[#This Row],[Nazwa uczelni]],StandardName[Ranking],$X$1))</f>
        <v>1</v>
      </c>
      <c r="Y504" s="2">
        <f>SUM(ARWU_Webometrics[[#This Row],[THE_RV1000]:[Webometrics_RV1000]])</f>
        <v>9</v>
      </c>
      <c r="Z504" s="1">
        <v>2</v>
      </c>
      <c r="AA504" s="1">
        <v>1</v>
      </c>
      <c r="AB504" s="1">
        <v>5</v>
      </c>
      <c r="AC504" s="1">
        <v>1</v>
      </c>
    </row>
    <row r="505" spans="9:30" outlineLevel="1" x14ac:dyDescent="0.45">
      <c r="I505" s="1" t="s">
        <v>705</v>
      </c>
      <c r="O505" s="2" t="s">
        <v>21</v>
      </c>
      <c r="P505" s="2">
        <v>1</v>
      </c>
      <c r="Q505" s="2">
        <v>1</v>
      </c>
      <c r="R505" s="2">
        <v>1</v>
      </c>
      <c r="S505" s="2">
        <v>1</v>
      </c>
      <c r="T505" s="2">
        <v>4</v>
      </c>
      <c r="U505" s="2">
        <f>IF(SUMIFS(StandardName[RankValueInTheRanking],StandardName[StandardizedName],ARWU_Webometrics[[#This Row],[Nazwa uczelni]],StandardName[Ranking],$U$1)=0,$N$3,SUMIFS(StandardName[RankValueInTheRanking],StandardName[StandardizedName],ARWU_Webometrics[[#This Row],[Nazwa uczelni]],StandardName[Ranking],$U$1))</f>
        <v>3</v>
      </c>
      <c r="V505" s="2">
        <f>IF(SUMIFS(StandardName[RankValueInTheRanking],StandardName[StandardizedName],ARWU_Webometrics[[#This Row],[Nazwa uczelni]],StandardName[Ranking],$V$1)=0,$N$3,SUMIFS(StandardName[RankValueInTheRanking],StandardName[StandardizedName],ARWU_Webometrics[[#This Row],[Nazwa uczelni]],StandardName[Ranking],$V$1))</f>
        <v>2</v>
      </c>
      <c r="W505" s="2">
        <f>IF(SUMIFS(StandardName[RankValueInTheRanking],StandardName[StandardizedName],ARWU_Webometrics[[#This Row],[Nazwa uczelni]],StandardName[Ranking],$W$1)=0,$N$3,SUMIFS(StandardName[RankValueInTheRanking],StandardName[StandardizedName],ARWU_Webometrics[[#This Row],[Nazwa uczelni]],StandardName[Ranking],$W$1))</f>
        <v>3</v>
      </c>
      <c r="X505" s="2">
        <f>IF(SUMIFS(StandardName[RankValueInTheRanking],StandardName[StandardizedName],ARWU_Webometrics[[#This Row],[Nazwa uczelni]],StandardName[Ranking],$X$1)=0,$N$3,SUMIFS(StandardName[RankValueInTheRanking],StandardName[StandardizedName],ARWU_Webometrics[[#This Row],[Nazwa uczelni]],StandardName[Ranking],$X$1))</f>
        <v>2</v>
      </c>
      <c r="Y505" s="2">
        <f>SUM(ARWU_Webometrics[[#This Row],[THE_RV1000]:[Webometrics_RV1000]])</f>
        <v>10</v>
      </c>
      <c r="Z505" s="2">
        <v>3</v>
      </c>
      <c r="AA505" s="2">
        <v>2</v>
      </c>
      <c r="AB505" s="2">
        <v>3</v>
      </c>
      <c r="AC505" s="2">
        <v>2</v>
      </c>
    </row>
    <row r="506" spans="9:30" outlineLevel="1" x14ac:dyDescent="0.45">
      <c r="I506" s="2" t="s">
        <v>778</v>
      </c>
      <c r="O506" s="1" t="s">
        <v>27</v>
      </c>
      <c r="P506" s="1">
        <v>1</v>
      </c>
      <c r="Q506" s="1">
        <v>1</v>
      </c>
      <c r="R506" s="1">
        <v>1</v>
      </c>
      <c r="S506" s="1">
        <v>1</v>
      </c>
      <c r="T506" s="1">
        <v>4</v>
      </c>
      <c r="U506" s="2">
        <f>IF(SUMIFS(StandardName[RankValueInTheRanking],StandardName[StandardizedName],ARWU_Webometrics[[#This Row],[Nazwa uczelni]],StandardName[Ranking],$U$1)=0,$N$3,SUMIFS(StandardName[RankValueInTheRanking],StandardName[StandardizedName],ARWU_Webometrics[[#This Row],[Nazwa uczelni]],StandardName[Ranking],$U$1))</f>
        <v>5</v>
      </c>
      <c r="V506" s="2">
        <f>IF(SUMIFS(StandardName[RankValueInTheRanking],StandardName[StandardizedName],ARWU_Webometrics[[#This Row],[Nazwa uczelni]],StandardName[Ranking],$V$1)=0,$N$3,SUMIFS(StandardName[RankValueInTheRanking],StandardName[StandardizedName],ARWU_Webometrics[[#This Row],[Nazwa uczelni]],StandardName[Ranking],$V$1))</f>
        <v>3</v>
      </c>
      <c r="W506" s="2">
        <f>IF(SUMIFS(StandardName[RankValueInTheRanking],StandardName[StandardizedName],ARWU_Webometrics[[#This Row],[Nazwa uczelni]],StandardName[Ranking],$W$1)=0,$N$3,SUMIFS(StandardName[RankValueInTheRanking],StandardName[StandardizedName],ARWU_Webometrics[[#This Row],[Nazwa uczelni]],StandardName[Ranking],$W$1))</f>
        <v>1</v>
      </c>
      <c r="X506" s="2">
        <f>IF(SUMIFS(StandardName[RankValueInTheRanking],StandardName[StandardizedName],ARWU_Webometrics[[#This Row],[Nazwa uczelni]],StandardName[Ranking],$X$1)=0,$N$3,SUMIFS(StandardName[RankValueInTheRanking],StandardName[StandardizedName],ARWU_Webometrics[[#This Row],[Nazwa uczelni]],StandardName[Ranking],$X$1))</f>
        <v>3</v>
      </c>
      <c r="Y506" s="2">
        <f>SUM(ARWU_Webometrics[[#This Row],[THE_RV1000]:[Webometrics_RV1000]])</f>
        <v>12</v>
      </c>
      <c r="Z506" s="1">
        <v>5</v>
      </c>
      <c r="AA506" s="1">
        <v>3</v>
      </c>
      <c r="AB506" s="1">
        <v>1</v>
      </c>
      <c r="AC506" s="1">
        <v>3</v>
      </c>
    </row>
    <row r="507" spans="9:30" outlineLevel="1" x14ac:dyDescent="0.45">
      <c r="I507" s="1" t="s">
        <v>89</v>
      </c>
      <c r="O507" s="2" t="s">
        <v>0</v>
      </c>
      <c r="P507" s="2">
        <v>1</v>
      </c>
      <c r="Q507" s="2">
        <v>1</v>
      </c>
      <c r="R507" s="2">
        <v>1</v>
      </c>
      <c r="S507" s="2">
        <v>1</v>
      </c>
      <c r="T507" s="2">
        <v>4</v>
      </c>
      <c r="U507" s="2">
        <f>IF(SUMIFS(StandardName[RankValueInTheRanking],StandardName[StandardizedName],ARWU_Webometrics[[#This Row],[Nazwa uczelni]],StandardName[Ranking],$U$1)=0,$N$3,SUMIFS(StandardName[RankValueInTheRanking],StandardName[StandardizedName],ARWU_Webometrics[[#This Row],[Nazwa uczelni]],StandardName[Ranking],$U$1))</f>
        <v>1</v>
      </c>
      <c r="V507" s="2">
        <f>IF(SUMIFS(StandardName[RankValueInTheRanking],StandardName[StandardizedName],ARWU_Webometrics[[#This Row],[Nazwa uczelni]],StandardName[Ranking],$V$1)=0,$N$3,SUMIFS(StandardName[RankValueInTheRanking],StandardName[StandardizedName],ARWU_Webometrics[[#This Row],[Nazwa uczelni]],StandardName[Ranking],$V$1))</f>
        <v>7</v>
      </c>
      <c r="W507" s="2">
        <f>IF(SUMIFS(StandardName[RankValueInTheRanking],StandardName[StandardizedName],ARWU_Webometrics[[#This Row],[Nazwa uczelni]],StandardName[Ranking],$W$1)=0,$N$3,SUMIFS(StandardName[RankValueInTheRanking],StandardName[StandardizedName],ARWU_Webometrics[[#This Row],[Nazwa uczelni]],StandardName[Ranking],$W$1))</f>
        <v>4</v>
      </c>
      <c r="X507" s="2">
        <f>IF(SUMIFS(StandardName[RankValueInTheRanking],StandardName[StandardizedName],ARWU_Webometrics[[#This Row],[Nazwa uczelni]],StandardName[Ranking],$X$1)=0,$N$3,SUMIFS(StandardName[RankValueInTheRanking],StandardName[StandardizedName],ARWU_Webometrics[[#This Row],[Nazwa uczelni]],StandardName[Ranking],$X$1))</f>
        <v>5</v>
      </c>
      <c r="Y507" s="2">
        <f>SUM(ARWU_Webometrics[[#This Row],[THE_RV1000]:[Webometrics_RV1000]])</f>
        <v>17</v>
      </c>
      <c r="Z507" s="2">
        <v>1</v>
      </c>
      <c r="AA507" s="2">
        <v>7</v>
      </c>
      <c r="AB507" s="2">
        <v>4</v>
      </c>
      <c r="AC507" s="2">
        <v>5</v>
      </c>
    </row>
    <row r="508" spans="9:30" outlineLevel="1" x14ac:dyDescent="0.45">
      <c r="I508" s="1" t="s">
        <v>796</v>
      </c>
      <c r="O508" s="1" t="s">
        <v>15</v>
      </c>
      <c r="P508" s="1">
        <v>1</v>
      </c>
      <c r="Q508" s="1">
        <v>1</v>
      </c>
      <c r="R508" s="1">
        <v>1</v>
      </c>
      <c r="S508" s="1">
        <v>1</v>
      </c>
      <c r="T508" s="1">
        <v>4</v>
      </c>
      <c r="U508" s="2">
        <f>IF(SUMIFS(StandardName[RankValueInTheRanking],StandardName[StandardizedName],ARWU_Webometrics[[#This Row],[Nazwa uczelni]],StandardName[Ranking],$U$1)=0,$N$3,SUMIFS(StandardName[RankValueInTheRanking],StandardName[StandardizedName],ARWU_Webometrics[[#This Row],[Nazwa uczelni]],StandardName[Ranking],$U$1))</f>
        <v>3</v>
      </c>
      <c r="V508" s="2">
        <f>IF(SUMIFS(StandardName[RankValueInTheRanking],StandardName[StandardizedName],ARWU_Webometrics[[#This Row],[Nazwa uczelni]],StandardName[Ranking],$V$1)=0,$N$3,SUMIFS(StandardName[RankValueInTheRanking],StandardName[StandardizedName],ARWU_Webometrics[[#This Row],[Nazwa uczelni]],StandardName[Ranking],$V$1))</f>
        <v>4</v>
      </c>
      <c r="W508" s="2">
        <f>IF(SUMIFS(StandardName[RankValueInTheRanking],StandardName[StandardizedName],ARWU_Webometrics[[#This Row],[Nazwa uczelni]],StandardName[Ranking],$W$1)=0,$N$3,SUMIFS(StandardName[RankValueInTheRanking],StandardName[StandardizedName],ARWU_Webometrics[[#This Row],[Nazwa uczelni]],StandardName[Ranking],$W$1))</f>
        <v>2</v>
      </c>
      <c r="X508" s="2">
        <f>IF(SUMIFS(StandardName[RankValueInTheRanking],StandardName[StandardizedName],ARWU_Webometrics[[#This Row],[Nazwa uczelni]],StandardName[Ranking],$X$1)=0,$N$3,SUMIFS(StandardName[RankValueInTheRanking],StandardName[StandardizedName],ARWU_Webometrics[[#This Row],[Nazwa uczelni]],StandardName[Ranking],$X$1))</f>
        <v>12</v>
      </c>
      <c r="Y508" s="2">
        <f>SUM(ARWU_Webometrics[[#This Row],[THE_RV1000]:[Webometrics_RV1000]])</f>
        <v>21</v>
      </c>
      <c r="Z508" s="1">
        <v>3</v>
      </c>
      <c r="AA508" s="1">
        <v>4</v>
      </c>
      <c r="AB508" s="1">
        <v>2</v>
      </c>
      <c r="AC508" s="1">
        <v>12</v>
      </c>
    </row>
    <row r="509" spans="9:30" outlineLevel="1" x14ac:dyDescent="0.45">
      <c r="I509" s="2" t="s">
        <v>720</v>
      </c>
      <c r="O509" s="2" t="s">
        <v>792</v>
      </c>
      <c r="P509" s="2">
        <v>1</v>
      </c>
      <c r="Q509" s="2">
        <v>1</v>
      </c>
      <c r="R509" s="2">
        <v>1</v>
      </c>
      <c r="S509" s="2">
        <v>1</v>
      </c>
      <c r="T509" s="2">
        <v>4</v>
      </c>
      <c r="U509" s="2">
        <f>IF(SUMIFS(StandardName[RankValueInTheRanking],StandardName[StandardizedName],ARWU_Webometrics[[#This Row],[Nazwa uczelni]],StandardName[Ranking],$U$1)=0,$N$3,SUMIFS(StandardName[RankValueInTheRanking],StandardName[StandardizedName],ARWU_Webometrics[[#This Row],[Nazwa uczelni]],StandardName[Ranking],$U$1))</f>
        <v>8</v>
      </c>
      <c r="V509" s="2">
        <f>IF(SUMIFS(StandardName[RankValueInTheRanking],StandardName[StandardizedName],ARWU_Webometrics[[#This Row],[Nazwa uczelni]],StandardName[Ranking],$V$1)=0,$N$3,SUMIFS(StandardName[RankValueInTheRanking],StandardName[StandardizedName],ARWU_Webometrics[[#This Row],[Nazwa uczelni]],StandardName[Ranking],$V$1))</f>
        <v>5</v>
      </c>
      <c r="W509" s="2">
        <f>IF(SUMIFS(StandardName[RankValueInTheRanking],StandardName[StandardizedName],ARWU_Webometrics[[#This Row],[Nazwa uczelni]],StandardName[Ranking],$W$1)=0,$N$3,SUMIFS(StandardName[RankValueInTheRanking],StandardName[StandardizedName],ARWU_Webometrics[[#This Row],[Nazwa uczelni]],StandardName[Ranking],$W$1))</f>
        <v>27</v>
      </c>
      <c r="X509" s="2">
        <f>IF(SUMIFS(StandardName[RankValueInTheRanking],StandardName[StandardizedName],ARWU_Webometrics[[#This Row],[Nazwa uczelni]],StandardName[Ranking],$X$1)=0,$N$3,SUMIFS(StandardName[RankValueInTheRanking],StandardName[StandardizedName],ARWU_Webometrics[[#This Row],[Nazwa uczelni]],StandardName[Ranking],$X$1))</f>
        <v>4</v>
      </c>
      <c r="Y509" s="2">
        <f>SUM(ARWU_Webometrics[[#This Row],[THE_RV1000]:[Webometrics_RV1000]])</f>
        <v>44</v>
      </c>
      <c r="Z509" s="2">
        <v>8</v>
      </c>
      <c r="AA509" s="2">
        <v>5</v>
      </c>
      <c r="AB509" s="2">
        <v>27</v>
      </c>
      <c r="AC509" s="2">
        <v>4</v>
      </c>
    </row>
    <row r="510" spans="9:30" outlineLevel="1" x14ac:dyDescent="0.45">
      <c r="I510" s="1" t="s">
        <v>826</v>
      </c>
      <c r="O510" s="1" t="s">
        <v>61</v>
      </c>
      <c r="P510" s="1">
        <v>1</v>
      </c>
      <c r="Q510" s="1">
        <v>1</v>
      </c>
      <c r="R510" s="1">
        <v>1</v>
      </c>
      <c r="S510" s="1">
        <v>1</v>
      </c>
      <c r="T510" s="1">
        <v>4</v>
      </c>
      <c r="U510" s="2">
        <f>IF(SUMIFS(StandardName[RankValueInTheRanking],StandardName[StandardizedName],ARWU_Webometrics[[#This Row],[Nazwa uczelni]],StandardName[Ranking],$U$1)=0,$N$3,SUMIFS(StandardName[RankValueInTheRanking],StandardName[StandardizedName],ARWU_Webometrics[[#This Row],[Nazwa uczelni]],StandardName[Ranking],$U$1))</f>
        <v>11</v>
      </c>
      <c r="V510" s="2">
        <f>IF(SUMIFS(StandardName[RankValueInTheRanking],StandardName[StandardizedName],ARWU_Webometrics[[#This Row],[Nazwa uczelni]],StandardName[Ranking],$V$1)=0,$N$3,SUMIFS(StandardName[RankValueInTheRanking],StandardName[StandardizedName],ARWU_Webometrics[[#This Row],[Nazwa uczelni]],StandardName[Ranking],$V$1))</f>
        <v>8</v>
      </c>
      <c r="W510" s="2">
        <f>IF(SUMIFS(StandardName[RankValueInTheRanking],StandardName[StandardizedName],ARWU_Webometrics[[#This Row],[Nazwa uczelni]],StandardName[Ranking],$W$1)=0,$N$3,SUMIFS(StandardName[RankValueInTheRanking],StandardName[StandardizedName],ARWU_Webometrics[[#This Row],[Nazwa uczelni]],StandardName[Ranking],$W$1))</f>
        <v>22</v>
      </c>
      <c r="X510" s="2">
        <f>IF(SUMIFS(StandardName[RankValueInTheRanking],StandardName[StandardizedName],ARWU_Webometrics[[#This Row],[Nazwa uczelni]],StandardName[Ranking],$X$1)=0,$N$3,SUMIFS(StandardName[RankValueInTheRanking],StandardName[StandardizedName],ARWU_Webometrics[[#This Row],[Nazwa uczelni]],StandardName[Ranking],$X$1))</f>
        <v>9</v>
      </c>
      <c r="Y510" s="2">
        <f>SUM(ARWU_Webometrics[[#This Row],[THE_RV1000]:[Webometrics_RV1000]])</f>
        <v>50</v>
      </c>
      <c r="Z510" s="1">
        <v>11</v>
      </c>
      <c r="AA510" s="1">
        <v>8</v>
      </c>
      <c r="AB510" s="1">
        <v>22</v>
      </c>
      <c r="AC510" s="1">
        <v>9</v>
      </c>
    </row>
    <row r="511" spans="9:30" outlineLevel="1" x14ac:dyDescent="0.45">
      <c r="I511" s="2" t="s">
        <v>239</v>
      </c>
      <c r="O511" s="2" t="s">
        <v>48</v>
      </c>
      <c r="P511" s="2">
        <v>1</v>
      </c>
      <c r="Q511" s="2">
        <v>1</v>
      </c>
      <c r="R511" s="2">
        <v>1</v>
      </c>
      <c r="S511" s="2">
        <v>1</v>
      </c>
      <c r="T511" s="2">
        <v>4</v>
      </c>
      <c r="U511" s="2">
        <f>IF(SUMIFS(StandardName[RankValueInTheRanking],StandardName[StandardizedName],ARWU_Webometrics[[#This Row],[Nazwa uczelni]],StandardName[Ranking],$U$1)=0,$N$3,SUMIFS(StandardName[RankValueInTheRanking],StandardName[StandardizedName],ARWU_Webometrics[[#This Row],[Nazwa uczelni]],StandardName[Ranking],$U$1))</f>
        <v>9</v>
      </c>
      <c r="V511" s="2">
        <f>IF(SUMIFS(StandardName[RankValueInTheRanking],StandardName[StandardizedName],ARWU_Webometrics[[#This Row],[Nazwa uczelni]],StandardName[Ranking],$V$1)=0,$N$3,SUMIFS(StandardName[RankValueInTheRanking],StandardName[StandardizedName],ARWU_Webometrics[[#This Row],[Nazwa uczelni]],StandardName[Ranking],$V$1))</f>
        <v>11</v>
      </c>
      <c r="W511" s="2">
        <f>IF(SUMIFS(StandardName[RankValueInTheRanking],StandardName[StandardizedName],ARWU_Webometrics[[#This Row],[Nazwa uczelni]],StandardName[Ranking],$W$1)=0,$N$3,SUMIFS(StandardName[RankValueInTheRanking],StandardName[StandardizedName],ARWU_Webometrics[[#This Row],[Nazwa uczelni]],StandardName[Ranking],$W$1))</f>
        <v>18</v>
      </c>
      <c r="X511" s="2">
        <f>IF(SUMIFS(StandardName[RankValueInTheRanking],StandardName[StandardizedName],ARWU_Webometrics[[#This Row],[Nazwa uczelni]],StandardName[Ranking],$X$1)=0,$N$3,SUMIFS(StandardName[RankValueInTheRanking],StandardName[StandardizedName],ARWU_Webometrics[[#This Row],[Nazwa uczelni]],StandardName[Ranking],$X$1))</f>
        <v>14</v>
      </c>
      <c r="Y511" s="2">
        <f>SUM(ARWU_Webometrics[[#This Row],[THE_RV1000]:[Webometrics_RV1000]])</f>
        <v>52</v>
      </c>
      <c r="Z511" s="2">
        <v>9</v>
      </c>
      <c r="AA511" s="2">
        <v>11</v>
      </c>
      <c r="AB511" s="2">
        <v>18</v>
      </c>
      <c r="AC511" s="2">
        <v>14</v>
      </c>
    </row>
    <row r="512" spans="9:30" outlineLevel="1" x14ac:dyDescent="0.45">
      <c r="I512" s="2" t="s">
        <v>425</v>
      </c>
      <c r="O512" s="1" t="s">
        <v>79</v>
      </c>
      <c r="P512" s="1">
        <v>1</v>
      </c>
      <c r="Q512" s="1">
        <v>1</v>
      </c>
      <c r="R512" s="1">
        <v>1</v>
      </c>
      <c r="S512" s="1">
        <v>1</v>
      </c>
      <c r="T512" s="1">
        <v>4</v>
      </c>
      <c r="U512" s="2">
        <f>IF(SUMIFS(StandardName[RankValueInTheRanking],StandardName[StandardizedName],ARWU_Webometrics[[#This Row],[Nazwa uczelni]],StandardName[Ranking],$U$1)=0,$N$3,SUMIFS(StandardName[RankValueInTheRanking],StandardName[StandardizedName],ARWU_Webometrics[[#This Row],[Nazwa uczelni]],StandardName[Ranking],$U$1))</f>
        <v>14</v>
      </c>
      <c r="V512" s="2">
        <f>IF(SUMIFS(StandardName[RankValueInTheRanking],StandardName[StandardizedName],ARWU_Webometrics[[#This Row],[Nazwa uczelni]],StandardName[Ranking],$V$1)=0,$N$3,SUMIFS(StandardName[RankValueInTheRanking],StandardName[StandardizedName],ARWU_Webometrics[[#This Row],[Nazwa uczelni]],StandardName[Ranking],$V$1))</f>
        <v>15</v>
      </c>
      <c r="W512" s="2">
        <f>IF(SUMIFS(StandardName[RankValueInTheRanking],StandardName[StandardizedName],ARWU_Webometrics[[#This Row],[Nazwa uczelni]],StandardName[Ranking],$W$1)=0,$N$3,SUMIFS(StandardName[RankValueInTheRanking],StandardName[StandardizedName],ARWU_Webometrics[[#This Row],[Nazwa uczelni]],StandardName[Ranking],$W$1))</f>
        <v>13</v>
      </c>
      <c r="X512" s="2">
        <f>IF(SUMIFS(StandardName[RankValueInTheRanking],StandardName[StandardizedName],ARWU_Webometrics[[#This Row],[Nazwa uczelni]],StandardName[Ranking],$X$1)=0,$N$3,SUMIFS(StandardName[RankValueInTheRanking],StandardName[StandardizedName],ARWU_Webometrics[[#This Row],[Nazwa uczelni]],StandardName[Ranking],$X$1))</f>
        <v>11</v>
      </c>
      <c r="Y512" s="2">
        <f>SUM(ARWU_Webometrics[[#This Row],[THE_RV1000]:[Webometrics_RV1000]])</f>
        <v>53</v>
      </c>
      <c r="Z512" s="1">
        <v>14</v>
      </c>
      <c r="AA512" s="1">
        <v>15</v>
      </c>
      <c r="AB512" s="1">
        <v>13</v>
      </c>
      <c r="AC512" s="1">
        <v>11</v>
      </c>
    </row>
    <row r="513" spans="9:29" outlineLevel="1" x14ac:dyDescent="0.45">
      <c r="I513" s="1" t="s">
        <v>604</v>
      </c>
      <c r="O513" s="2" t="s">
        <v>36</v>
      </c>
      <c r="P513" s="2">
        <v>1</v>
      </c>
      <c r="Q513" s="2">
        <v>1</v>
      </c>
      <c r="R513" s="2">
        <v>1</v>
      </c>
      <c r="S513" s="2">
        <v>1</v>
      </c>
      <c r="T513" s="2">
        <v>4</v>
      </c>
      <c r="U513" s="2">
        <f>IF(SUMIFS(StandardName[RankValueInTheRanking],StandardName[StandardizedName],ARWU_Webometrics[[#This Row],[Nazwa uczelni]],StandardName[Ranking],$U$1)=0,$N$3,SUMIFS(StandardName[RankValueInTheRanking],StandardName[StandardizedName],ARWU_Webometrics[[#This Row],[Nazwa uczelni]],StandardName[Ranking],$U$1))</f>
        <v>7</v>
      </c>
      <c r="V513" s="2">
        <f>IF(SUMIFS(StandardName[RankValueInTheRanking],StandardName[StandardizedName],ARWU_Webometrics[[#This Row],[Nazwa uczelni]],StandardName[Ranking],$V$1)=0,$N$3,SUMIFS(StandardName[RankValueInTheRanking],StandardName[StandardizedName],ARWU_Webometrics[[#This Row],[Nazwa uczelni]],StandardName[Ranking],$V$1))</f>
        <v>6</v>
      </c>
      <c r="W513" s="2">
        <f>IF(SUMIFS(StandardName[RankValueInTheRanking],StandardName[StandardizedName],ARWU_Webometrics[[#This Row],[Nazwa uczelni]],StandardName[Ranking],$W$1)=0,$N$3,SUMIFS(StandardName[RankValueInTheRanking],StandardName[StandardizedName],ARWU_Webometrics[[#This Row],[Nazwa uczelni]],StandardName[Ranking],$W$1))</f>
        <v>16</v>
      </c>
      <c r="X513" s="2">
        <f>IF(SUMIFS(StandardName[RankValueInTheRanking],StandardName[StandardizedName],ARWU_Webometrics[[#This Row],[Nazwa uczelni]],StandardName[Ranking],$X$1)=0,$N$3,SUMIFS(StandardName[RankValueInTheRanking],StandardName[StandardizedName],ARWU_Webometrics[[#This Row],[Nazwa uczelni]],StandardName[Ranking],$X$1))</f>
        <v>26</v>
      </c>
      <c r="Y513" s="2">
        <f>SUM(ARWU_Webometrics[[#This Row],[THE_RV1000]:[Webometrics_RV1000]])</f>
        <v>55</v>
      </c>
      <c r="Z513" s="2">
        <v>7</v>
      </c>
      <c r="AA513" s="2">
        <v>6</v>
      </c>
      <c r="AB513" s="2">
        <v>16</v>
      </c>
      <c r="AC513" s="2">
        <v>26</v>
      </c>
    </row>
    <row r="514" spans="9:29" outlineLevel="1" x14ac:dyDescent="0.45">
      <c r="I514" s="1" t="s">
        <v>725</v>
      </c>
      <c r="O514" s="1" t="s">
        <v>118</v>
      </c>
      <c r="P514" s="1">
        <v>1</v>
      </c>
      <c r="Q514" s="1">
        <v>1</v>
      </c>
      <c r="R514" s="1">
        <v>1</v>
      </c>
      <c r="S514" s="1">
        <v>1</v>
      </c>
      <c r="T514" s="1">
        <v>4</v>
      </c>
      <c r="U514" s="2">
        <f>IF(SUMIFS(StandardName[RankValueInTheRanking],StandardName[StandardizedName],ARWU_Webometrics[[#This Row],[Nazwa uczelni]],StandardName[Ranking],$U$1)=0,$N$3,SUMIFS(StandardName[RankValueInTheRanking],StandardName[StandardizedName],ARWU_Webometrics[[#This Row],[Nazwa uczelni]],StandardName[Ranking],$U$1))</f>
        <v>20</v>
      </c>
      <c r="V514" s="2">
        <f>IF(SUMIFS(StandardName[RankValueInTheRanking],StandardName[StandardizedName],ARWU_Webometrics[[#This Row],[Nazwa uczelni]],StandardName[Ranking],$V$1)=0,$N$3,SUMIFS(StandardName[RankValueInTheRanking],StandardName[StandardizedName],ARWU_Webometrics[[#This Row],[Nazwa uczelni]],StandardName[Ranking],$V$1))</f>
        <v>12</v>
      </c>
      <c r="W514" s="2">
        <f>IF(SUMIFS(StandardName[RankValueInTheRanking],StandardName[StandardizedName],ARWU_Webometrics[[#This Row],[Nazwa uczelni]],StandardName[Ranking],$W$1)=0,$N$3,SUMIFS(StandardName[RankValueInTheRanking],StandardName[StandardizedName],ARWU_Webometrics[[#This Row],[Nazwa uczelni]],StandardName[Ranking],$W$1))</f>
        <v>20</v>
      </c>
      <c r="X514" s="2">
        <f>IF(SUMIFS(StandardName[RankValueInTheRanking],StandardName[StandardizedName],ARWU_Webometrics[[#This Row],[Nazwa uczelni]],StandardName[Ranking],$X$1)=0,$N$3,SUMIFS(StandardName[RankValueInTheRanking],StandardName[StandardizedName],ARWU_Webometrics[[#This Row],[Nazwa uczelni]],StandardName[Ranking],$X$1))</f>
        <v>8</v>
      </c>
      <c r="Y514" s="2">
        <f>SUM(ARWU_Webometrics[[#This Row],[THE_RV1000]:[Webometrics_RV1000]])</f>
        <v>60</v>
      </c>
      <c r="Z514" s="1">
        <v>20</v>
      </c>
      <c r="AA514" s="1">
        <v>12</v>
      </c>
      <c r="AB514" s="1">
        <v>20</v>
      </c>
      <c r="AC514" s="1">
        <v>8</v>
      </c>
    </row>
    <row r="515" spans="9:29" outlineLevel="1" x14ac:dyDescent="0.45">
      <c r="I515" s="1" t="s">
        <v>440</v>
      </c>
      <c r="O515" s="2" t="s">
        <v>501</v>
      </c>
      <c r="P515" s="2">
        <v>1</v>
      </c>
      <c r="Q515" s="2">
        <v>1</v>
      </c>
      <c r="R515" s="2">
        <v>1</v>
      </c>
      <c r="S515" s="2">
        <v>1</v>
      </c>
      <c r="T515" s="2">
        <v>4</v>
      </c>
      <c r="U515" s="2">
        <f>IF(SUMIFS(StandardName[RankValueInTheRanking],StandardName[StandardizedName],ARWU_Webometrics[[#This Row],[Nazwa uczelni]],StandardName[Ranking],$U$1)=0,$N$3,SUMIFS(StandardName[RankValueInTheRanking],StandardName[StandardizedName],ARWU_Webometrics[[#This Row],[Nazwa uczelni]],StandardName[Ranking],$U$1))</f>
        <v>13</v>
      </c>
      <c r="V515" s="2">
        <f>IF(SUMIFS(StandardName[RankValueInTheRanking],StandardName[StandardizedName],ARWU_Webometrics[[#This Row],[Nazwa uczelni]],StandardName[Ranking],$V$1)=0,$N$3,SUMIFS(StandardName[RankValueInTheRanking],StandardName[StandardizedName],ARWU_Webometrics[[#This Row],[Nazwa uczelni]],StandardName[Ranking],$V$1))</f>
        <v>10</v>
      </c>
      <c r="W515" s="2">
        <f>IF(SUMIFS(StandardName[RankValueInTheRanking],StandardName[StandardizedName],ARWU_Webometrics[[#This Row],[Nazwa uczelni]],StandardName[Ranking],$W$1)=0,$N$3,SUMIFS(StandardName[RankValueInTheRanking],StandardName[StandardizedName],ARWU_Webometrics[[#This Row],[Nazwa uczelni]],StandardName[Ranking],$W$1))</f>
        <v>10</v>
      </c>
      <c r="X515" s="2">
        <f>IF(SUMIFS(StandardName[RankValueInTheRanking],StandardName[StandardizedName],ARWU_Webometrics[[#This Row],[Nazwa uczelni]],StandardName[Ranking],$X$1)=0,$N$3,SUMIFS(StandardName[RankValueInTheRanking],StandardName[StandardizedName],ARWU_Webometrics[[#This Row],[Nazwa uczelni]],StandardName[Ranking],$X$1))</f>
        <v>29</v>
      </c>
      <c r="Y515" s="2">
        <f>SUM(ARWU_Webometrics[[#This Row],[THE_RV1000]:[Webometrics_RV1000]])</f>
        <v>62</v>
      </c>
      <c r="Z515" s="2">
        <v>13</v>
      </c>
      <c r="AA515" s="2">
        <v>10</v>
      </c>
      <c r="AB515" s="2">
        <v>10</v>
      </c>
      <c r="AC515" s="2">
        <v>29</v>
      </c>
    </row>
    <row r="516" spans="9:29" outlineLevel="1" x14ac:dyDescent="0.45">
      <c r="I516" s="1" t="s">
        <v>617</v>
      </c>
      <c r="O516" s="1" t="s">
        <v>83</v>
      </c>
      <c r="P516" s="1">
        <v>1</v>
      </c>
      <c r="Q516" s="1">
        <v>1</v>
      </c>
      <c r="R516" s="1">
        <v>1</v>
      </c>
      <c r="S516" s="1">
        <v>1</v>
      </c>
      <c r="T516" s="1">
        <v>4</v>
      </c>
      <c r="U516" s="2">
        <f>IF(SUMIFS(StandardName[RankValueInTheRanking],StandardName[StandardizedName],ARWU_Webometrics[[#This Row],[Nazwa uczelni]],StandardName[Ranking],$U$1)=0,$N$3,SUMIFS(StandardName[RankValueInTheRanking],StandardName[StandardizedName],ARWU_Webometrics[[#This Row],[Nazwa uczelni]],StandardName[Ranking],$U$1))</f>
        <v>15</v>
      </c>
      <c r="V516" s="2">
        <f>IF(SUMIFS(StandardName[RankValueInTheRanking],StandardName[StandardizedName],ARWU_Webometrics[[#This Row],[Nazwa uczelni]],StandardName[Ranking],$V$1)=0,$N$3,SUMIFS(StandardName[RankValueInTheRanking],StandardName[StandardizedName],ARWU_Webometrics[[#This Row],[Nazwa uczelni]],StandardName[Ranking],$V$1))</f>
        <v>14</v>
      </c>
      <c r="W516" s="2">
        <f>IF(SUMIFS(StandardName[RankValueInTheRanking],StandardName[StandardizedName],ARWU_Webometrics[[#This Row],[Nazwa uczelni]],StandardName[Ranking],$W$1)=0,$N$3,SUMIFS(StandardName[RankValueInTheRanking],StandardName[StandardizedName],ARWU_Webometrics[[#This Row],[Nazwa uczelni]],StandardName[Ranking],$W$1))</f>
        <v>24</v>
      </c>
      <c r="X516" s="2">
        <f>IF(SUMIFS(StandardName[RankValueInTheRanking],StandardName[StandardizedName],ARWU_Webometrics[[#This Row],[Nazwa uczelni]],StandardName[Ranking],$X$1)=0,$N$3,SUMIFS(StandardName[RankValueInTheRanking],StandardName[StandardizedName],ARWU_Webometrics[[#This Row],[Nazwa uczelni]],StandardName[Ranking],$X$1))</f>
        <v>10</v>
      </c>
      <c r="Y516" s="2">
        <f>SUM(ARWU_Webometrics[[#This Row],[THE_RV1000]:[Webometrics_RV1000]])</f>
        <v>63</v>
      </c>
      <c r="Z516" s="1">
        <v>15</v>
      </c>
      <c r="AA516" s="1">
        <v>14</v>
      </c>
      <c r="AB516" s="1">
        <v>24</v>
      </c>
      <c r="AC516" s="1">
        <v>10</v>
      </c>
    </row>
    <row r="517" spans="9:29" outlineLevel="1" x14ac:dyDescent="0.45">
      <c r="I517" s="1" t="s">
        <v>326</v>
      </c>
      <c r="O517" s="2" t="s">
        <v>796</v>
      </c>
      <c r="P517" s="2">
        <v>1</v>
      </c>
      <c r="Q517" s="2">
        <v>1</v>
      </c>
      <c r="R517" s="2">
        <v>1</v>
      </c>
      <c r="S517" s="2">
        <v>1</v>
      </c>
      <c r="T517" s="2">
        <v>4</v>
      </c>
      <c r="U517" s="2">
        <f>IF(SUMIFS(StandardName[RankValueInTheRanking],StandardName[StandardizedName],ARWU_Webometrics[[#This Row],[Nazwa uczelni]],StandardName[Ranking],$U$1)=0,$N$3,SUMIFS(StandardName[RankValueInTheRanking],StandardName[StandardizedName],ARWU_Webometrics[[#This Row],[Nazwa uczelni]],StandardName[Ranking],$U$1))</f>
        <v>22</v>
      </c>
      <c r="V517" s="2">
        <f>IF(SUMIFS(StandardName[RankValueInTheRanking],StandardName[StandardizedName],ARWU_Webometrics[[#This Row],[Nazwa uczelni]],StandardName[Ranking],$V$1)=0,$N$3,SUMIFS(StandardName[RankValueInTheRanking],StandardName[StandardizedName],ARWU_Webometrics[[#This Row],[Nazwa uczelni]],StandardName[Ranking],$V$1))</f>
        <v>18</v>
      </c>
      <c r="W517" s="2">
        <f>IF(SUMIFS(StandardName[RankValueInTheRanking],StandardName[StandardizedName],ARWU_Webometrics[[#This Row],[Nazwa uczelni]],StandardName[Ranking],$W$1)=0,$N$3,SUMIFS(StandardName[RankValueInTheRanking],StandardName[StandardizedName],ARWU_Webometrics[[#This Row],[Nazwa uczelni]],StandardName[Ranking],$W$1))</f>
        <v>8</v>
      </c>
      <c r="X517" s="2">
        <f>IF(SUMIFS(StandardName[RankValueInTheRanking],StandardName[StandardizedName],ARWU_Webometrics[[#This Row],[Nazwa uczelni]],StandardName[Ranking],$X$1)=0,$N$3,SUMIFS(StandardName[RankValueInTheRanking],StandardName[StandardizedName],ARWU_Webometrics[[#This Row],[Nazwa uczelni]],StandardName[Ranking],$X$1))</f>
        <v>15</v>
      </c>
      <c r="Y517" s="2">
        <f>SUM(ARWU_Webometrics[[#This Row],[THE_RV1000]:[Webometrics_RV1000]])</f>
        <v>63</v>
      </c>
      <c r="Z517" s="2">
        <v>22</v>
      </c>
      <c r="AA517" s="2">
        <v>18</v>
      </c>
      <c r="AB517" s="2">
        <v>8</v>
      </c>
      <c r="AC517" s="2">
        <v>15</v>
      </c>
    </row>
    <row r="518" spans="9:29" outlineLevel="1" x14ac:dyDescent="0.45">
      <c r="I518" s="2" t="s">
        <v>818</v>
      </c>
      <c r="O518" s="1" t="s">
        <v>67</v>
      </c>
      <c r="P518" s="1">
        <v>1</v>
      </c>
      <c r="Q518" s="1">
        <v>1</v>
      </c>
      <c r="R518" s="1">
        <v>1</v>
      </c>
      <c r="S518" s="1">
        <v>1</v>
      </c>
      <c r="T518" s="1">
        <v>4</v>
      </c>
      <c r="U518" s="2">
        <f>IF(SUMIFS(StandardName[RankValueInTheRanking],StandardName[StandardizedName],ARWU_Webometrics[[#This Row],[Nazwa uczelni]],StandardName[Ranking],$U$1)=0,$N$3,SUMIFS(StandardName[RankValueInTheRanking],StandardName[StandardizedName],ARWU_Webometrics[[#This Row],[Nazwa uczelni]],StandardName[Ranking],$U$1))</f>
        <v>11</v>
      </c>
      <c r="V518" s="2">
        <f>IF(SUMIFS(StandardName[RankValueInTheRanking],StandardName[StandardizedName],ARWU_Webometrics[[#This Row],[Nazwa uczelni]],StandardName[Ranking],$V$1)=0,$N$3,SUMIFS(StandardName[RankValueInTheRanking],StandardName[StandardizedName],ARWU_Webometrics[[#This Row],[Nazwa uczelni]],StandardName[Ranking],$V$1))</f>
        <v>20</v>
      </c>
      <c r="W518" s="2">
        <f>IF(SUMIFS(StandardName[RankValueInTheRanking],StandardName[StandardizedName],ARWU_Webometrics[[#This Row],[Nazwa uczelni]],StandardName[Ranking],$W$1)=0,$N$3,SUMIFS(StandardName[RankValueInTheRanking],StandardName[StandardizedName],ARWU_Webometrics[[#This Row],[Nazwa uczelni]],StandardName[Ranking],$W$1))</f>
        <v>9</v>
      </c>
      <c r="X518" s="2">
        <f>IF(SUMIFS(StandardName[RankValueInTheRanking],StandardName[StandardizedName],ARWU_Webometrics[[#This Row],[Nazwa uczelni]],StandardName[Ranking],$X$1)=0,$N$3,SUMIFS(StandardName[RankValueInTheRanking],StandardName[StandardizedName],ARWU_Webometrics[[#This Row],[Nazwa uczelni]],StandardName[Ranking],$X$1))</f>
        <v>30</v>
      </c>
      <c r="Y518" s="2">
        <f>SUM(ARWU_Webometrics[[#This Row],[THE_RV1000]:[Webometrics_RV1000]])</f>
        <v>70</v>
      </c>
      <c r="Z518" s="1">
        <v>11</v>
      </c>
      <c r="AA518" s="1">
        <v>20</v>
      </c>
      <c r="AB518" s="1">
        <v>9</v>
      </c>
      <c r="AC518" s="1">
        <v>30</v>
      </c>
    </row>
    <row r="519" spans="9:29" outlineLevel="1" x14ac:dyDescent="0.45">
      <c r="I519" s="1" t="s">
        <v>610</v>
      </c>
      <c r="O519" s="2" t="s">
        <v>54</v>
      </c>
      <c r="P519" s="2">
        <v>1</v>
      </c>
      <c r="Q519" s="2">
        <v>1</v>
      </c>
      <c r="R519" s="2">
        <v>1</v>
      </c>
      <c r="S519" s="2">
        <v>1</v>
      </c>
      <c r="T519" s="2">
        <v>4</v>
      </c>
      <c r="U519" s="2">
        <f>IF(SUMIFS(StandardName[RankValueInTheRanking],StandardName[StandardizedName],ARWU_Webometrics[[#This Row],[Nazwa uczelni]],StandardName[Ranking],$U$1)=0,$N$3,SUMIFS(StandardName[RankValueInTheRanking],StandardName[StandardizedName],ARWU_Webometrics[[#This Row],[Nazwa uczelni]],StandardName[Ranking],$U$1))</f>
        <v>10</v>
      </c>
      <c r="V519" s="2">
        <f>IF(SUMIFS(StandardName[RankValueInTheRanking],StandardName[StandardizedName],ARWU_Webometrics[[#This Row],[Nazwa uczelni]],StandardName[Ranking],$V$1)=0,$N$3,SUMIFS(StandardName[RankValueInTheRanking],StandardName[StandardizedName],ARWU_Webometrics[[#This Row],[Nazwa uczelni]],StandardName[Ranking],$V$1))</f>
        <v>23</v>
      </c>
      <c r="W519" s="2">
        <f>IF(SUMIFS(StandardName[RankValueInTheRanking],StandardName[StandardizedName],ARWU_Webometrics[[#This Row],[Nazwa uczelni]],StandardName[Ranking],$W$1)=0,$N$3,SUMIFS(StandardName[RankValueInTheRanking],StandardName[StandardizedName],ARWU_Webometrics[[#This Row],[Nazwa uczelni]],StandardName[Ranking],$W$1))</f>
        <v>6</v>
      </c>
      <c r="X519" s="2">
        <f>IF(SUMIFS(StandardName[RankValueInTheRanking],StandardName[StandardizedName],ARWU_Webometrics[[#This Row],[Nazwa uczelni]],StandardName[Ranking],$X$1)=0,$N$3,SUMIFS(StandardName[RankValueInTheRanking],StandardName[StandardizedName],ARWU_Webometrics[[#This Row],[Nazwa uczelni]],StandardName[Ranking],$X$1))</f>
        <v>35</v>
      </c>
      <c r="Y519" s="2">
        <f>SUM(ARWU_Webometrics[[#This Row],[THE_RV1000]:[Webometrics_RV1000]])</f>
        <v>74</v>
      </c>
      <c r="Z519" s="2">
        <v>10</v>
      </c>
      <c r="AA519" s="2">
        <v>23</v>
      </c>
      <c r="AB519" s="2">
        <v>6</v>
      </c>
      <c r="AC519" s="2">
        <v>35</v>
      </c>
    </row>
    <row r="520" spans="9:29" outlineLevel="1" x14ac:dyDescent="0.45">
      <c r="I520" s="2" t="s">
        <v>460</v>
      </c>
      <c r="O520" s="1" t="s">
        <v>31</v>
      </c>
      <c r="P520" s="1">
        <v>1</v>
      </c>
      <c r="Q520" s="1">
        <v>1</v>
      </c>
      <c r="R520" s="1">
        <v>1</v>
      </c>
      <c r="S520" s="1">
        <v>1</v>
      </c>
      <c r="T520" s="1">
        <v>4</v>
      </c>
      <c r="U520" s="2">
        <f>IF(SUMIFS(StandardName[RankValueInTheRanking],StandardName[StandardizedName],ARWU_Webometrics[[#This Row],[Nazwa uczelni]],StandardName[Ranking],$U$1)=0,$N$3,SUMIFS(StandardName[RankValueInTheRanking],StandardName[StandardizedName],ARWU_Webometrics[[#This Row],[Nazwa uczelni]],StandardName[Ranking],$U$1))</f>
        <v>6</v>
      </c>
      <c r="V520" s="2">
        <f>IF(SUMIFS(StandardName[RankValueInTheRanking],StandardName[StandardizedName],ARWU_Webometrics[[#This Row],[Nazwa uczelni]],StandardName[Ranking],$V$1)=0,$N$3,SUMIFS(StandardName[RankValueInTheRanking],StandardName[StandardizedName],ARWU_Webometrics[[#This Row],[Nazwa uczelni]],StandardName[Ranking],$V$1))</f>
        <v>9</v>
      </c>
      <c r="W520" s="2">
        <f>IF(SUMIFS(StandardName[RankValueInTheRanking],StandardName[StandardizedName],ARWU_Webometrics[[#This Row],[Nazwa uczelni]],StandardName[Ranking],$W$1)=0,$N$3,SUMIFS(StandardName[RankValueInTheRanking],StandardName[StandardizedName],ARWU_Webometrics[[#This Row],[Nazwa uczelni]],StandardName[Ranking],$W$1))</f>
        <v>6</v>
      </c>
      <c r="X520" s="2">
        <f>IF(SUMIFS(StandardName[RankValueInTheRanking],StandardName[StandardizedName],ARWU_Webometrics[[#This Row],[Nazwa uczelni]],StandardName[Ranking],$X$1)=0,$N$3,SUMIFS(StandardName[RankValueInTheRanking],StandardName[StandardizedName],ARWU_Webometrics[[#This Row],[Nazwa uczelni]],StandardName[Ranking],$X$1))</f>
        <v>59</v>
      </c>
      <c r="Y520" s="2">
        <f>SUM(ARWU_Webometrics[[#This Row],[THE_RV1000]:[Webometrics_RV1000]])</f>
        <v>80</v>
      </c>
      <c r="Z520" s="1">
        <v>6</v>
      </c>
      <c r="AA520" s="1">
        <v>9</v>
      </c>
      <c r="AB520" s="1">
        <v>6</v>
      </c>
      <c r="AC520" s="1">
        <v>59</v>
      </c>
    </row>
    <row r="521" spans="9:29" outlineLevel="1" x14ac:dyDescent="0.45">
      <c r="I521" s="1" t="s">
        <v>761</v>
      </c>
      <c r="O521" s="2" t="s">
        <v>89</v>
      </c>
      <c r="P521" s="2">
        <v>1</v>
      </c>
      <c r="Q521" s="2">
        <v>1</v>
      </c>
      <c r="R521" s="2">
        <v>1</v>
      </c>
      <c r="S521" s="2">
        <v>1</v>
      </c>
      <c r="T521" s="2">
        <v>4</v>
      </c>
      <c r="U521" s="2">
        <f>IF(SUMIFS(StandardName[RankValueInTheRanking],StandardName[StandardizedName],ARWU_Webometrics[[#This Row],[Nazwa uczelni]],StandardName[Ranking],$U$1)=0,$N$3,SUMIFS(StandardName[RankValueInTheRanking],StandardName[StandardizedName],ARWU_Webometrics[[#This Row],[Nazwa uczelni]],StandardName[Ranking],$U$1))</f>
        <v>16</v>
      </c>
      <c r="V521" s="2">
        <f>IF(SUMIFS(StandardName[RankValueInTheRanking],StandardName[StandardizedName],ARWU_Webometrics[[#This Row],[Nazwa uczelni]],StandardName[Ranking],$V$1)=0,$N$3,SUMIFS(StandardName[RankValueInTheRanking],StandardName[StandardizedName],ARWU_Webometrics[[#This Row],[Nazwa uczelni]],StandardName[Ranking],$V$1))</f>
        <v>26</v>
      </c>
      <c r="W521" s="2">
        <f>IF(SUMIFS(StandardName[RankValueInTheRanking],StandardName[StandardizedName],ARWU_Webometrics[[#This Row],[Nazwa uczelni]],StandardName[Ranking],$W$1)=0,$N$3,SUMIFS(StandardName[RankValueInTheRanking],StandardName[StandardizedName],ARWU_Webometrics[[#This Row],[Nazwa uczelni]],StandardName[Ranking],$W$1))</f>
        <v>14</v>
      </c>
      <c r="X521" s="2">
        <f>IF(SUMIFS(StandardName[RankValueInTheRanking],StandardName[StandardizedName],ARWU_Webometrics[[#This Row],[Nazwa uczelni]],StandardName[Ranking],$X$1)=0,$N$3,SUMIFS(StandardName[RankValueInTheRanking],StandardName[StandardizedName],ARWU_Webometrics[[#This Row],[Nazwa uczelni]],StandardName[Ranking],$X$1))</f>
        <v>24</v>
      </c>
      <c r="Y521" s="2">
        <f>SUM(ARWU_Webometrics[[#This Row],[THE_RV1000]:[Webometrics_RV1000]])</f>
        <v>80</v>
      </c>
      <c r="Z521" s="2">
        <v>16</v>
      </c>
      <c r="AA521" s="2">
        <v>26</v>
      </c>
      <c r="AB521" s="2">
        <v>14</v>
      </c>
      <c r="AC521" s="2">
        <v>24</v>
      </c>
    </row>
    <row r="522" spans="9:29" outlineLevel="1" x14ac:dyDescent="0.45">
      <c r="I522" s="2" t="s">
        <v>443</v>
      </c>
      <c r="O522" s="1" t="s">
        <v>133</v>
      </c>
      <c r="P522" s="1">
        <v>1</v>
      </c>
      <c r="Q522" s="1">
        <v>1</v>
      </c>
      <c r="R522" s="1">
        <v>1</v>
      </c>
      <c r="S522" s="1">
        <v>1</v>
      </c>
      <c r="T522" s="1">
        <v>4</v>
      </c>
      <c r="U522" s="2">
        <f>IF(SUMIFS(StandardName[RankValueInTheRanking],StandardName[StandardizedName],ARWU_Webometrics[[#This Row],[Nazwa uczelni]],StandardName[Ranking],$U$1)=0,$N$3,SUMIFS(StandardName[RankValueInTheRanking],StandardName[StandardizedName],ARWU_Webometrics[[#This Row],[Nazwa uczelni]],StandardName[Ranking],$U$1))</f>
        <v>23</v>
      </c>
      <c r="V522" s="2">
        <f>IF(SUMIFS(StandardName[RankValueInTheRanking],StandardName[StandardizedName],ARWU_Webometrics[[#This Row],[Nazwa uczelni]],StandardName[Ranking],$V$1)=0,$N$3,SUMIFS(StandardName[RankValueInTheRanking],StandardName[StandardizedName],ARWU_Webometrics[[#This Row],[Nazwa uczelni]],StandardName[Ranking],$V$1))</f>
        <v>28</v>
      </c>
      <c r="W522" s="2">
        <f>IF(SUMIFS(StandardName[RankValueInTheRanking],StandardName[StandardizedName],ARWU_Webometrics[[#This Row],[Nazwa uczelni]],StandardName[Ranking],$W$1)=0,$N$3,SUMIFS(StandardName[RankValueInTheRanking],StandardName[StandardizedName],ARWU_Webometrics[[#This Row],[Nazwa uczelni]],StandardName[Ranking],$W$1))</f>
        <v>25</v>
      </c>
      <c r="X522" s="2">
        <f>IF(SUMIFS(StandardName[RankValueInTheRanking],StandardName[StandardizedName],ARWU_Webometrics[[#This Row],[Nazwa uczelni]],StandardName[Ranking],$X$1)=0,$N$3,SUMIFS(StandardName[RankValueInTheRanking],StandardName[StandardizedName],ARWU_Webometrics[[#This Row],[Nazwa uczelni]],StandardName[Ranking],$X$1))</f>
        <v>6</v>
      </c>
      <c r="Y522" s="2">
        <f>SUM(ARWU_Webometrics[[#This Row],[THE_RV1000]:[Webometrics_RV1000]])</f>
        <v>82</v>
      </c>
      <c r="Z522" s="1">
        <v>23</v>
      </c>
      <c r="AA522" s="1">
        <v>28</v>
      </c>
      <c r="AB522" s="1">
        <v>25</v>
      </c>
      <c r="AC522" s="1">
        <v>6</v>
      </c>
    </row>
    <row r="523" spans="9:29" outlineLevel="1" x14ac:dyDescent="0.45">
      <c r="I523" s="2" t="s">
        <v>392</v>
      </c>
      <c r="O523" s="2" t="s">
        <v>102</v>
      </c>
      <c r="P523" s="2">
        <v>1</v>
      </c>
      <c r="Q523" s="2">
        <v>1</v>
      </c>
      <c r="R523" s="2">
        <v>1</v>
      </c>
      <c r="S523" s="2">
        <v>1</v>
      </c>
      <c r="T523" s="2">
        <v>4</v>
      </c>
      <c r="U523" s="2">
        <f>IF(SUMIFS(StandardName[RankValueInTheRanking],StandardName[StandardizedName],ARWU_Webometrics[[#This Row],[Nazwa uczelni]],StandardName[Ranking],$U$1)=0,$N$3,SUMIFS(StandardName[RankValueInTheRanking],StandardName[StandardizedName],ARWU_Webometrics[[#This Row],[Nazwa uczelni]],StandardName[Ranking],$U$1))</f>
        <v>18</v>
      </c>
      <c r="V523" s="2">
        <f>IF(SUMIFS(StandardName[RankValueInTheRanking],StandardName[StandardizedName],ARWU_Webometrics[[#This Row],[Nazwa uczelni]],StandardName[Ranking],$V$1)=0,$N$3,SUMIFS(StandardName[RankValueInTheRanking],StandardName[StandardizedName],ARWU_Webometrics[[#This Row],[Nazwa uczelni]],StandardName[Ranking],$V$1))</f>
        <v>22</v>
      </c>
      <c r="W523" s="2">
        <f>IF(SUMIFS(StandardName[RankValueInTheRanking],StandardName[StandardizedName],ARWU_Webometrics[[#This Row],[Nazwa uczelni]],StandardName[Ranking],$W$1)=0,$N$3,SUMIFS(StandardName[RankValueInTheRanking],StandardName[StandardizedName],ARWU_Webometrics[[#This Row],[Nazwa uczelni]],StandardName[Ranking],$W$1))</f>
        <v>34</v>
      </c>
      <c r="X523" s="2">
        <f>IF(SUMIFS(StandardName[RankValueInTheRanking],StandardName[StandardizedName],ARWU_Webometrics[[#This Row],[Nazwa uczelni]],StandardName[Ranking],$X$1)=0,$N$3,SUMIFS(StandardName[RankValueInTheRanking],StandardName[StandardizedName],ARWU_Webometrics[[#This Row],[Nazwa uczelni]],StandardName[Ranking],$X$1))</f>
        <v>16</v>
      </c>
      <c r="Y523" s="2">
        <f>SUM(ARWU_Webometrics[[#This Row],[THE_RV1000]:[Webometrics_RV1000]])</f>
        <v>90</v>
      </c>
      <c r="Z523" s="2">
        <v>18</v>
      </c>
      <c r="AA523" s="2">
        <v>22</v>
      </c>
      <c r="AB523" s="2">
        <v>34</v>
      </c>
      <c r="AC523" s="2">
        <v>16</v>
      </c>
    </row>
    <row r="524" spans="9:29" outlineLevel="1" x14ac:dyDescent="0.45">
      <c r="I524" s="1" t="s">
        <v>225</v>
      </c>
      <c r="O524" s="1" t="s">
        <v>795</v>
      </c>
      <c r="P524" s="1">
        <v>1</v>
      </c>
      <c r="Q524" s="1">
        <v>1</v>
      </c>
      <c r="R524" s="1">
        <v>1</v>
      </c>
      <c r="S524" s="1">
        <v>1</v>
      </c>
      <c r="T524" s="1">
        <v>4</v>
      </c>
      <c r="U524" s="2">
        <f>IF(SUMIFS(StandardName[RankValueInTheRanking],StandardName[StandardizedName],ARWU_Webometrics[[#This Row],[Nazwa uczelni]],StandardName[Ranking],$U$1)=0,$N$3,SUMIFS(StandardName[RankValueInTheRanking],StandardName[StandardizedName],ARWU_Webometrics[[#This Row],[Nazwa uczelni]],StandardName[Ranking],$U$1))</f>
        <v>21</v>
      </c>
      <c r="V524" s="2">
        <f>IF(SUMIFS(StandardName[RankValueInTheRanking],StandardName[StandardizedName],ARWU_Webometrics[[#This Row],[Nazwa uczelni]],StandardName[Ranking],$V$1)=0,$N$3,SUMIFS(StandardName[RankValueInTheRanking],StandardName[StandardizedName],ARWU_Webometrics[[#This Row],[Nazwa uczelni]],StandardName[Ranking],$V$1))</f>
        <v>13</v>
      </c>
      <c r="W524" s="2">
        <f>IF(SUMIFS(StandardName[RankValueInTheRanking],StandardName[StandardizedName],ARWU_Webometrics[[#This Row],[Nazwa uczelni]],StandardName[Ranking],$W$1)=0,$N$3,SUMIFS(StandardName[RankValueInTheRanking],StandardName[StandardizedName],ARWU_Webometrics[[#This Row],[Nazwa uczelni]],StandardName[Ranking],$W$1))</f>
        <v>44</v>
      </c>
      <c r="X524" s="2">
        <f>IF(SUMIFS(StandardName[RankValueInTheRanking],StandardName[StandardizedName],ARWU_Webometrics[[#This Row],[Nazwa uczelni]],StandardName[Ranking],$X$1)=0,$N$3,SUMIFS(StandardName[RankValueInTheRanking],StandardName[StandardizedName],ARWU_Webometrics[[#This Row],[Nazwa uczelni]],StandardName[Ranking],$X$1))</f>
        <v>13</v>
      </c>
      <c r="Y524" s="2">
        <f>SUM(ARWU_Webometrics[[#This Row],[THE_RV1000]:[Webometrics_RV1000]])</f>
        <v>91</v>
      </c>
      <c r="Z524" s="1">
        <v>21</v>
      </c>
      <c r="AA524" s="1">
        <v>13</v>
      </c>
      <c r="AB524" s="1">
        <v>44</v>
      </c>
      <c r="AC524" s="1">
        <v>13</v>
      </c>
    </row>
    <row r="525" spans="9:29" outlineLevel="1" x14ac:dyDescent="0.45">
      <c r="I525" s="1" t="s">
        <v>837</v>
      </c>
      <c r="O525" s="2" t="s">
        <v>97</v>
      </c>
      <c r="P525" s="2">
        <v>1</v>
      </c>
      <c r="Q525" s="2">
        <v>1</v>
      </c>
      <c r="R525" s="2">
        <v>1</v>
      </c>
      <c r="S525" s="2">
        <v>1</v>
      </c>
      <c r="T525" s="2">
        <v>4</v>
      </c>
      <c r="U525" s="2">
        <f>IF(SUMIFS(StandardName[RankValueInTheRanking],StandardName[StandardizedName],ARWU_Webometrics[[#This Row],[Nazwa uczelni]],StandardName[Ranking],$U$1)=0,$N$3,SUMIFS(StandardName[RankValueInTheRanking],StandardName[StandardizedName],ARWU_Webometrics[[#This Row],[Nazwa uczelni]],StandardName[Ranking],$U$1))</f>
        <v>17</v>
      </c>
      <c r="V525" s="2">
        <f>IF(SUMIFS(StandardName[RankValueInTheRanking],StandardName[StandardizedName],ARWU_Webometrics[[#This Row],[Nazwa uczelni]],StandardName[Ranking],$V$1)=0,$N$3,SUMIFS(StandardName[RankValueInTheRanking],StandardName[StandardizedName],ARWU_Webometrics[[#This Row],[Nazwa uczelni]],StandardName[Ranking],$V$1))</f>
        <v>34</v>
      </c>
      <c r="W525" s="2">
        <f>IF(SUMIFS(StandardName[RankValueInTheRanking],StandardName[StandardizedName],ARWU_Webometrics[[#This Row],[Nazwa uczelni]],StandardName[Ranking],$W$1)=0,$N$3,SUMIFS(StandardName[RankValueInTheRanking],StandardName[StandardizedName],ARWU_Webometrics[[#This Row],[Nazwa uczelni]],StandardName[Ranking],$W$1))</f>
        <v>12</v>
      </c>
      <c r="X525" s="2">
        <f>IF(SUMIFS(StandardName[RankValueInTheRanking],StandardName[StandardizedName],ARWU_Webometrics[[#This Row],[Nazwa uczelni]],StandardName[Ranking],$X$1)=0,$N$3,SUMIFS(StandardName[RankValueInTheRanking],StandardName[StandardizedName],ARWU_Webometrics[[#This Row],[Nazwa uczelni]],StandardName[Ranking],$X$1))</f>
        <v>32</v>
      </c>
      <c r="Y525" s="2">
        <f>SUM(ARWU_Webometrics[[#This Row],[THE_RV1000]:[Webometrics_RV1000]])</f>
        <v>95</v>
      </c>
      <c r="Z525" s="2">
        <v>17</v>
      </c>
      <c r="AA525" s="2">
        <v>34</v>
      </c>
      <c r="AB525" s="2">
        <v>12</v>
      </c>
      <c r="AC525" s="2">
        <v>32</v>
      </c>
    </row>
    <row r="526" spans="9:29" outlineLevel="1" x14ac:dyDescent="0.45">
      <c r="I526" s="2" t="s">
        <v>792</v>
      </c>
      <c r="O526" s="1" t="s">
        <v>151</v>
      </c>
      <c r="P526" s="1">
        <v>1</v>
      </c>
      <c r="Q526" s="1">
        <v>1</v>
      </c>
      <c r="R526" s="1">
        <v>1</v>
      </c>
      <c r="S526" s="1">
        <v>1</v>
      </c>
      <c r="T526" s="1">
        <v>4</v>
      </c>
      <c r="U526" s="2">
        <f>IF(SUMIFS(StandardName[RankValueInTheRanking],StandardName[StandardizedName],ARWU_Webometrics[[#This Row],[Nazwa uczelni]],StandardName[Ranking],$U$1)=0,$N$3,SUMIFS(StandardName[RankValueInTheRanking],StandardName[StandardizedName],ARWU_Webometrics[[#This Row],[Nazwa uczelni]],StandardName[Ranking],$U$1))</f>
        <v>26</v>
      </c>
      <c r="V526" s="2">
        <f>IF(SUMIFS(StandardName[RankValueInTheRanking],StandardName[StandardizedName],ARWU_Webometrics[[#This Row],[Nazwa uczelni]],StandardName[Ranking],$V$1)=0,$N$3,SUMIFS(StandardName[RankValueInTheRanking],StandardName[StandardizedName],ARWU_Webometrics[[#This Row],[Nazwa uczelni]],StandardName[Ranking],$V$1))</f>
        <v>30</v>
      </c>
      <c r="W526" s="2">
        <f>IF(SUMIFS(StandardName[RankValueInTheRanking],StandardName[StandardizedName],ARWU_Webometrics[[#This Row],[Nazwa uczelni]],StandardName[Ranking],$W$1)=0,$N$3,SUMIFS(StandardName[RankValueInTheRanking],StandardName[StandardizedName],ARWU_Webometrics[[#This Row],[Nazwa uczelni]],StandardName[Ranking],$W$1))</f>
        <v>32</v>
      </c>
      <c r="X526" s="2">
        <f>IF(SUMIFS(StandardName[RankValueInTheRanking],StandardName[StandardizedName],ARWU_Webometrics[[#This Row],[Nazwa uczelni]],StandardName[Ranking],$X$1)=0,$N$3,SUMIFS(StandardName[RankValueInTheRanking],StandardName[StandardizedName],ARWU_Webometrics[[#This Row],[Nazwa uczelni]],StandardName[Ranking],$X$1))</f>
        <v>22</v>
      </c>
      <c r="Y526" s="2">
        <f>SUM(ARWU_Webometrics[[#This Row],[THE_RV1000]:[Webometrics_RV1000]])</f>
        <v>110</v>
      </c>
      <c r="Z526" s="1">
        <v>26</v>
      </c>
      <c r="AA526" s="1">
        <v>30</v>
      </c>
      <c r="AB526" s="1">
        <v>32</v>
      </c>
      <c r="AC526" s="1">
        <v>22</v>
      </c>
    </row>
    <row r="527" spans="9:29" outlineLevel="1" x14ac:dyDescent="0.45">
      <c r="I527" s="1" t="s">
        <v>807</v>
      </c>
      <c r="O527" s="2" t="s">
        <v>139</v>
      </c>
      <c r="P527" s="2">
        <v>1</v>
      </c>
      <c r="Q527" s="2">
        <v>1</v>
      </c>
      <c r="R527" s="2">
        <v>1</v>
      </c>
      <c r="S527" s="2">
        <v>1</v>
      </c>
      <c r="T527" s="2">
        <v>4</v>
      </c>
      <c r="U527" s="2">
        <f>IF(SUMIFS(StandardName[RankValueInTheRanking],StandardName[StandardizedName],ARWU_Webometrics[[#This Row],[Nazwa uczelni]],StandardName[Ranking],$U$1)=0,$N$3,SUMIFS(StandardName[RankValueInTheRanking],StandardName[StandardizedName],ARWU_Webometrics[[#This Row],[Nazwa uczelni]],StandardName[Ranking],$U$1))</f>
        <v>24</v>
      </c>
      <c r="V527" s="2">
        <f>IF(SUMIFS(StandardName[RankValueInTheRanking],StandardName[StandardizedName],ARWU_Webometrics[[#This Row],[Nazwa uczelni]],StandardName[Ranking],$V$1)=0,$N$3,SUMIFS(StandardName[RankValueInTheRanking],StandardName[StandardizedName],ARWU_Webometrics[[#This Row],[Nazwa uczelni]],StandardName[Ranking],$V$1))</f>
        <v>25</v>
      </c>
      <c r="W527" s="2">
        <f>IF(SUMIFS(StandardName[RankValueInTheRanking],StandardName[StandardizedName],ARWU_Webometrics[[#This Row],[Nazwa uczelni]],StandardName[Ranking],$W$1)=0,$N$3,SUMIFS(StandardName[RankValueInTheRanking],StandardName[StandardizedName],ARWU_Webometrics[[#This Row],[Nazwa uczelni]],StandardName[Ranking],$W$1))</f>
        <v>39</v>
      </c>
      <c r="X527" s="2">
        <f>IF(SUMIFS(StandardName[RankValueInTheRanking],StandardName[StandardizedName],ARWU_Webometrics[[#This Row],[Nazwa uczelni]],StandardName[Ranking],$X$1)=0,$N$3,SUMIFS(StandardName[RankValueInTheRanking],StandardName[StandardizedName],ARWU_Webometrics[[#This Row],[Nazwa uczelni]],StandardName[Ranking],$X$1))</f>
        <v>23</v>
      </c>
      <c r="Y527" s="2">
        <f>SUM(ARWU_Webometrics[[#This Row],[THE_RV1000]:[Webometrics_RV1000]])</f>
        <v>111</v>
      </c>
      <c r="Z527" s="2">
        <v>24</v>
      </c>
      <c r="AA527" s="2">
        <v>25</v>
      </c>
      <c r="AB527" s="2">
        <v>39</v>
      </c>
      <c r="AC527" s="2">
        <v>23</v>
      </c>
    </row>
    <row r="528" spans="9:29" outlineLevel="1" x14ac:dyDescent="0.45">
      <c r="I528" s="2" t="s">
        <v>808</v>
      </c>
      <c r="O528" s="1" t="s">
        <v>797</v>
      </c>
      <c r="P528" s="1">
        <v>1</v>
      </c>
      <c r="Q528" s="1">
        <v>1</v>
      </c>
      <c r="R528" s="1">
        <v>1</v>
      </c>
      <c r="S528" s="1">
        <v>1</v>
      </c>
      <c r="T528" s="1">
        <v>4</v>
      </c>
      <c r="U528" s="2">
        <f>IF(SUMIFS(StandardName[RankValueInTheRanking],StandardName[StandardizedName],ARWU_Webometrics[[#This Row],[Nazwa uczelni]],StandardName[Ranking],$U$1)=0,$N$3,SUMIFS(StandardName[RankValueInTheRanking],StandardName[StandardizedName],ARWU_Webometrics[[#This Row],[Nazwa uczelni]],StandardName[Ranking],$U$1))</f>
        <v>32</v>
      </c>
      <c r="V528" s="2">
        <f>IF(SUMIFS(StandardName[RankValueInTheRanking],StandardName[StandardizedName],ARWU_Webometrics[[#This Row],[Nazwa uczelni]],StandardName[Ranking],$V$1)=0,$N$3,SUMIFS(StandardName[RankValueInTheRanking],StandardName[StandardizedName],ARWU_Webometrics[[#This Row],[Nazwa uczelni]],StandardName[Ranking],$V$1))</f>
        <v>21</v>
      </c>
      <c r="W528" s="2">
        <f>IF(SUMIFS(StandardName[RankValueInTheRanking],StandardName[StandardizedName],ARWU_Webometrics[[#This Row],[Nazwa uczelni]],StandardName[Ranking],$W$1)=0,$N$3,SUMIFS(StandardName[RankValueInTheRanking],StandardName[StandardizedName],ARWU_Webometrics[[#This Row],[Nazwa uczelni]],StandardName[Ranking],$W$1))</f>
        <v>53</v>
      </c>
      <c r="X528" s="2">
        <f>IF(SUMIFS(StandardName[RankValueInTheRanking],StandardName[StandardizedName],ARWU_Webometrics[[#This Row],[Nazwa uczelni]],StandardName[Ranking],$X$1)=0,$N$3,SUMIFS(StandardName[RankValueInTheRanking],StandardName[StandardizedName],ARWU_Webometrics[[#This Row],[Nazwa uczelni]],StandardName[Ranking],$X$1))</f>
        <v>17</v>
      </c>
      <c r="Y528" s="2">
        <f>SUM(ARWU_Webometrics[[#This Row],[THE_RV1000]:[Webometrics_RV1000]])</f>
        <v>123</v>
      </c>
      <c r="Z528" s="1">
        <v>32</v>
      </c>
      <c r="AA528" s="1">
        <v>21</v>
      </c>
      <c r="AB528" s="1">
        <v>53</v>
      </c>
      <c r="AC528" s="1">
        <v>17</v>
      </c>
    </row>
    <row r="529" spans="9:29" outlineLevel="1" x14ac:dyDescent="0.45">
      <c r="I529" s="1" t="s">
        <v>795</v>
      </c>
      <c r="O529" s="2" t="s">
        <v>169</v>
      </c>
      <c r="P529" s="2">
        <v>1</v>
      </c>
      <c r="Q529" s="2">
        <v>1</v>
      </c>
      <c r="R529" s="2">
        <v>1</v>
      </c>
      <c r="S529" s="2">
        <v>1</v>
      </c>
      <c r="T529" s="2">
        <v>4</v>
      </c>
      <c r="U529" s="2">
        <f>IF(SUMIFS(StandardName[RankValueInTheRanking],StandardName[StandardizedName],ARWU_Webometrics[[#This Row],[Nazwa uczelni]],StandardName[Ranking],$U$1)=0,$N$3,SUMIFS(StandardName[RankValueInTheRanking],StandardName[StandardizedName],ARWU_Webometrics[[#This Row],[Nazwa uczelni]],StandardName[Ranking],$U$1))</f>
        <v>29</v>
      </c>
      <c r="V529" s="2">
        <f>IF(SUMIFS(StandardName[RankValueInTheRanking],StandardName[StandardizedName],ARWU_Webometrics[[#This Row],[Nazwa uczelni]],StandardName[Ranking],$V$1)=0,$N$3,SUMIFS(StandardName[RankValueInTheRanking],StandardName[StandardizedName],ARWU_Webometrics[[#This Row],[Nazwa uczelni]],StandardName[Ranking],$V$1))</f>
        <v>35</v>
      </c>
      <c r="W529" s="2">
        <f>IF(SUMIFS(StandardName[RankValueInTheRanking],StandardName[StandardizedName],ARWU_Webometrics[[#This Row],[Nazwa uczelni]],StandardName[Ranking],$W$1)=0,$N$3,SUMIFS(StandardName[RankValueInTheRanking],StandardName[StandardizedName],ARWU_Webometrics[[#This Row],[Nazwa uczelni]],StandardName[Ranking],$W$1))</f>
        <v>15</v>
      </c>
      <c r="X529" s="2">
        <f>IF(SUMIFS(StandardName[RankValueInTheRanking],StandardName[StandardizedName],ARWU_Webometrics[[#This Row],[Nazwa uczelni]],StandardName[Ranking],$X$1)=0,$N$3,SUMIFS(StandardName[RankValueInTheRanking],StandardName[StandardizedName],ARWU_Webometrics[[#This Row],[Nazwa uczelni]],StandardName[Ranking],$X$1))</f>
        <v>44</v>
      </c>
      <c r="Y529" s="2">
        <f>SUM(ARWU_Webometrics[[#This Row],[THE_RV1000]:[Webometrics_RV1000]])</f>
        <v>123</v>
      </c>
      <c r="Z529" s="2">
        <v>29</v>
      </c>
      <c r="AA529" s="2">
        <v>35</v>
      </c>
      <c r="AB529" s="2">
        <v>15</v>
      </c>
      <c r="AC529" s="2">
        <v>44</v>
      </c>
    </row>
    <row r="530" spans="9:29" outlineLevel="1" x14ac:dyDescent="0.45">
      <c r="I530" s="2" t="s">
        <v>797</v>
      </c>
      <c r="O530" s="1" t="s">
        <v>145</v>
      </c>
      <c r="P530" s="1">
        <v>1</v>
      </c>
      <c r="Q530" s="1">
        <v>1</v>
      </c>
      <c r="R530" s="1">
        <v>1</v>
      </c>
      <c r="S530" s="1">
        <v>1</v>
      </c>
      <c r="T530" s="1">
        <v>4</v>
      </c>
      <c r="U530" s="2">
        <f>IF(SUMIFS(StandardName[RankValueInTheRanking],StandardName[StandardizedName],ARWU_Webometrics[[#This Row],[Nazwa uczelni]],StandardName[Ranking],$U$1)=0,$N$3,SUMIFS(StandardName[RankValueInTheRanking],StandardName[StandardizedName],ARWU_Webometrics[[#This Row],[Nazwa uczelni]],StandardName[Ranking],$U$1))</f>
        <v>25</v>
      </c>
      <c r="V530" s="2">
        <f>IF(SUMIFS(StandardName[RankValueInTheRanking],StandardName[StandardizedName],ARWU_Webometrics[[#This Row],[Nazwa uczelni]],StandardName[Ranking],$V$1)=0,$N$3,SUMIFS(StandardName[RankValueInTheRanking],StandardName[StandardizedName],ARWU_Webometrics[[#This Row],[Nazwa uczelni]],StandardName[Ranking],$V$1))</f>
        <v>31</v>
      </c>
      <c r="W530" s="2">
        <f>IF(SUMIFS(StandardName[RankValueInTheRanking],StandardName[StandardizedName],ARWU_Webometrics[[#This Row],[Nazwa uczelni]],StandardName[Ranking],$W$1)=0,$N$3,SUMIFS(StandardName[RankValueInTheRanking],StandardName[StandardizedName],ARWU_Webometrics[[#This Row],[Nazwa uczelni]],StandardName[Ranking],$W$1))</f>
        <v>50</v>
      </c>
      <c r="X530" s="2">
        <f>IF(SUMIFS(StandardName[RankValueInTheRanking],StandardName[StandardizedName],ARWU_Webometrics[[#This Row],[Nazwa uczelni]],StandardName[Ranking],$X$1)=0,$N$3,SUMIFS(StandardName[RankValueInTheRanking],StandardName[StandardizedName],ARWU_Webometrics[[#This Row],[Nazwa uczelni]],StandardName[Ranking],$X$1))</f>
        <v>21</v>
      </c>
      <c r="Y530" s="2">
        <f>SUM(ARWU_Webometrics[[#This Row],[THE_RV1000]:[Webometrics_RV1000]])</f>
        <v>127</v>
      </c>
      <c r="Z530" s="1">
        <v>25</v>
      </c>
      <c r="AA530" s="1">
        <v>31</v>
      </c>
      <c r="AB530" s="1">
        <v>50</v>
      </c>
      <c r="AC530" s="1">
        <v>21</v>
      </c>
    </row>
    <row r="531" spans="9:29" outlineLevel="1" x14ac:dyDescent="0.45">
      <c r="I531" s="1" t="s">
        <v>809</v>
      </c>
      <c r="O531" s="2" t="s">
        <v>157</v>
      </c>
      <c r="P531" s="2">
        <v>1</v>
      </c>
      <c r="Q531" s="2">
        <v>1</v>
      </c>
      <c r="R531" s="2">
        <v>1</v>
      </c>
      <c r="S531" s="2">
        <v>1</v>
      </c>
      <c r="T531" s="2">
        <v>4</v>
      </c>
      <c r="U531" s="2">
        <f>IF(SUMIFS(StandardName[RankValueInTheRanking],StandardName[StandardizedName],ARWU_Webometrics[[#This Row],[Nazwa uczelni]],StandardName[Ranking],$U$1)=0,$N$3,SUMIFS(StandardName[RankValueInTheRanking],StandardName[StandardizedName],ARWU_Webometrics[[#This Row],[Nazwa uczelni]],StandardName[Ranking],$U$1))</f>
        <v>26</v>
      </c>
      <c r="V531" s="2">
        <f>IF(SUMIFS(StandardName[RankValueInTheRanking],StandardName[StandardizedName],ARWU_Webometrics[[#This Row],[Nazwa uczelni]],StandardName[Ranking],$V$1)=0,$N$3,SUMIFS(StandardName[RankValueInTheRanking],StandardName[StandardizedName],ARWU_Webometrics[[#This Row],[Nazwa uczelni]],StandardName[Ranking],$V$1))</f>
        <v>17</v>
      </c>
      <c r="W531" s="2">
        <f>IF(SUMIFS(StandardName[RankValueInTheRanking],StandardName[StandardizedName],ARWU_Webometrics[[#This Row],[Nazwa uczelni]],StandardName[Ranking],$W$1)=0,$N$3,SUMIFS(StandardName[RankValueInTheRanking],StandardName[StandardizedName],ARWU_Webometrics[[#This Row],[Nazwa uczelni]],StandardName[Ranking],$W$1))</f>
        <v>80</v>
      </c>
      <c r="X531" s="2">
        <f>IF(SUMIFS(StandardName[RankValueInTheRanking],StandardName[StandardizedName],ARWU_Webometrics[[#This Row],[Nazwa uczelni]],StandardName[Ranking],$X$1)=0,$N$3,SUMIFS(StandardName[RankValueInTheRanking],StandardName[StandardizedName],ARWU_Webometrics[[#This Row],[Nazwa uczelni]],StandardName[Ranking],$X$1))</f>
        <v>7</v>
      </c>
      <c r="Y531" s="2">
        <f>SUM(ARWU_Webometrics[[#This Row],[THE_RV1000]:[Webometrics_RV1000]])</f>
        <v>130</v>
      </c>
      <c r="Z531" s="2">
        <v>26</v>
      </c>
      <c r="AA531" s="2">
        <v>17</v>
      </c>
      <c r="AB531" s="2">
        <v>80</v>
      </c>
      <c r="AC531" s="2">
        <v>7</v>
      </c>
    </row>
    <row r="532" spans="9:29" outlineLevel="1" x14ac:dyDescent="0.45">
      <c r="I532" s="2" t="s">
        <v>829</v>
      </c>
      <c r="O532" s="1" t="s">
        <v>194</v>
      </c>
      <c r="P532" s="1">
        <v>1</v>
      </c>
      <c r="Q532" s="1">
        <v>1</v>
      </c>
      <c r="R532" s="1">
        <v>1</v>
      </c>
      <c r="S532" s="1">
        <v>1</v>
      </c>
      <c r="T532" s="1">
        <v>4</v>
      </c>
      <c r="U532" s="2">
        <f>IF(SUMIFS(StandardName[RankValueInTheRanking],StandardName[StandardizedName],ARWU_Webometrics[[#This Row],[Nazwa uczelni]],StandardName[Ranking],$U$1)=0,$N$3,SUMIFS(StandardName[RankValueInTheRanking],StandardName[StandardizedName],ARWU_Webometrics[[#This Row],[Nazwa uczelni]],StandardName[Ranking],$U$1))</f>
        <v>34</v>
      </c>
      <c r="V532" s="2">
        <f>IF(SUMIFS(StandardName[RankValueInTheRanking],StandardName[StandardizedName],ARWU_Webometrics[[#This Row],[Nazwa uczelni]],StandardName[Ranking],$V$1)=0,$N$3,SUMIFS(StandardName[RankValueInTheRanking],StandardName[StandardizedName],ARWU_Webometrics[[#This Row],[Nazwa uczelni]],StandardName[Ranking],$V$1))</f>
        <v>32</v>
      </c>
      <c r="W532" s="2">
        <f>IF(SUMIFS(StandardName[RankValueInTheRanking],StandardName[StandardizedName],ARWU_Webometrics[[#This Row],[Nazwa uczelni]],StandardName[Ranking],$W$1)=0,$N$3,SUMIFS(StandardName[RankValueInTheRanking],StandardName[StandardizedName],ARWU_Webometrics[[#This Row],[Nazwa uczelni]],StandardName[Ranking],$W$1))</f>
        <v>33</v>
      </c>
      <c r="X532" s="2">
        <f>IF(SUMIFS(StandardName[RankValueInTheRanking],StandardName[StandardizedName],ARWU_Webometrics[[#This Row],[Nazwa uczelni]],StandardName[Ranking],$X$1)=0,$N$3,SUMIFS(StandardName[RankValueInTheRanking],StandardName[StandardizedName],ARWU_Webometrics[[#This Row],[Nazwa uczelni]],StandardName[Ranking],$X$1))</f>
        <v>40</v>
      </c>
      <c r="Y532" s="2">
        <f>SUM(ARWU_Webometrics[[#This Row],[THE_RV1000]:[Webometrics_RV1000]])</f>
        <v>139</v>
      </c>
      <c r="Z532" s="1">
        <v>34</v>
      </c>
      <c r="AA532" s="1">
        <v>32</v>
      </c>
      <c r="AB532" s="1">
        <v>33</v>
      </c>
      <c r="AC532" s="1">
        <v>40</v>
      </c>
    </row>
    <row r="533" spans="9:29" outlineLevel="1" x14ac:dyDescent="0.45">
      <c r="I533" s="2" t="s">
        <v>15</v>
      </c>
      <c r="O533" s="2" t="s">
        <v>110</v>
      </c>
      <c r="P533" s="2">
        <v>1</v>
      </c>
      <c r="Q533" s="2">
        <v>1</v>
      </c>
      <c r="R533" s="2">
        <v>1</v>
      </c>
      <c r="S533" s="2">
        <v>1</v>
      </c>
      <c r="T533" s="2">
        <v>4</v>
      </c>
      <c r="U533" s="2">
        <f>IF(SUMIFS(StandardName[RankValueInTheRanking],StandardName[StandardizedName],ARWU_Webometrics[[#This Row],[Nazwa uczelni]],StandardName[Ranking],$U$1)=0,$N$3,SUMIFS(StandardName[RankValueInTheRanking],StandardName[StandardizedName],ARWU_Webometrics[[#This Row],[Nazwa uczelni]],StandardName[Ranking],$U$1))</f>
        <v>19</v>
      </c>
      <c r="V533" s="2">
        <f>IF(SUMIFS(StandardName[RankValueInTheRanking],StandardName[StandardizedName],ARWU_Webometrics[[#This Row],[Nazwa uczelni]],StandardName[Ranking],$V$1)=0,$N$3,SUMIFS(StandardName[RankValueInTheRanking],StandardName[StandardizedName],ARWU_Webometrics[[#This Row],[Nazwa uczelni]],StandardName[Ranking],$V$1))</f>
        <v>71</v>
      </c>
      <c r="W533" s="2">
        <f>IF(SUMIFS(StandardName[RankValueInTheRanking],StandardName[StandardizedName],ARWU_Webometrics[[#This Row],[Nazwa uczelni]],StandardName[Ranking],$W$1)=0,$N$3,SUMIFS(StandardName[RankValueInTheRanking],StandardName[StandardizedName],ARWU_Webometrics[[#This Row],[Nazwa uczelni]],StandardName[Ranking],$W$1))</f>
        <v>11</v>
      </c>
      <c r="X533" s="2">
        <f>IF(SUMIFS(StandardName[RankValueInTheRanking],StandardName[StandardizedName],ARWU_Webometrics[[#This Row],[Nazwa uczelni]],StandardName[Ranking],$X$1)=0,$N$3,SUMIFS(StandardName[RankValueInTheRanking],StandardName[StandardizedName],ARWU_Webometrics[[#This Row],[Nazwa uczelni]],StandardName[Ranking],$X$1))</f>
        <v>47</v>
      </c>
      <c r="Y533" s="2">
        <f>SUM(ARWU_Webometrics[[#This Row],[THE_RV1000]:[Webometrics_RV1000]])</f>
        <v>148</v>
      </c>
      <c r="Z533" s="2">
        <v>19</v>
      </c>
      <c r="AA533" s="2">
        <v>71</v>
      </c>
      <c r="AB533" s="2">
        <v>11</v>
      </c>
      <c r="AC533" s="2">
        <v>47</v>
      </c>
    </row>
    <row r="534" spans="9:29" outlineLevel="1" x14ac:dyDescent="0.45">
      <c r="I534" s="1" t="s">
        <v>563</v>
      </c>
      <c r="O534" s="1" t="s">
        <v>854</v>
      </c>
      <c r="P534" s="1">
        <v>1</v>
      </c>
      <c r="Q534" s="1">
        <v>1</v>
      </c>
      <c r="R534" s="1">
        <v>1</v>
      </c>
      <c r="S534" s="1">
        <v>1</v>
      </c>
      <c r="T534" s="1">
        <v>4</v>
      </c>
      <c r="U534" s="2">
        <f>IF(SUMIFS(StandardName[RankValueInTheRanking],StandardName[StandardizedName],ARWU_Webometrics[[#This Row],[Nazwa uczelni]],StandardName[Ranking],$U$1)=0,$N$3,SUMIFS(StandardName[RankValueInTheRanking],StandardName[StandardizedName],ARWU_Webometrics[[#This Row],[Nazwa uczelni]],StandardName[Ranking],$U$1))</f>
        <v>39</v>
      </c>
      <c r="V534" s="2">
        <f>IF(SUMIFS(StandardName[RankValueInTheRanking],StandardName[StandardizedName],ARWU_Webometrics[[#This Row],[Nazwa uczelni]],StandardName[Ranking],$V$1)=0,$N$3,SUMIFS(StandardName[RankValueInTheRanking],StandardName[StandardizedName],ARWU_Webometrics[[#This Row],[Nazwa uczelni]],StandardName[Ranking],$V$1))</f>
        <v>24</v>
      </c>
      <c r="W534" s="2">
        <f>IF(SUMIFS(StandardName[RankValueInTheRanking],StandardName[StandardizedName],ARWU_Webometrics[[#This Row],[Nazwa uczelni]],StandardName[Ranking],$W$1)=0,$N$3,SUMIFS(StandardName[RankValueInTheRanking],StandardName[StandardizedName],ARWU_Webometrics[[#This Row],[Nazwa uczelni]],StandardName[Ranking],$W$1))</f>
        <v>23</v>
      </c>
      <c r="X534" s="2">
        <f>IF(SUMIFS(StandardName[RankValueInTheRanking],StandardName[StandardizedName],ARWU_Webometrics[[#This Row],[Nazwa uczelni]],StandardName[Ranking],$X$1)=0,$N$3,SUMIFS(StandardName[RankValueInTheRanking],StandardName[StandardizedName],ARWU_Webometrics[[#This Row],[Nazwa uczelni]],StandardName[Ranking],$X$1))</f>
        <v>66</v>
      </c>
      <c r="Y534" s="2">
        <f>SUM(ARWU_Webometrics[[#This Row],[THE_RV1000]:[Webometrics_RV1000]])</f>
        <v>152</v>
      </c>
      <c r="Z534" s="1">
        <v>39</v>
      </c>
      <c r="AA534" s="1">
        <v>24</v>
      </c>
      <c r="AB534" s="1">
        <v>23</v>
      </c>
      <c r="AC534" s="1">
        <v>66</v>
      </c>
    </row>
    <row r="535" spans="9:29" outlineLevel="1" x14ac:dyDescent="0.45">
      <c r="I535" s="2" t="s">
        <v>545</v>
      </c>
      <c r="O535" s="2" t="s">
        <v>225</v>
      </c>
      <c r="P535" s="2">
        <v>1</v>
      </c>
      <c r="Q535" s="2">
        <v>1</v>
      </c>
      <c r="R535" s="2">
        <v>1</v>
      </c>
      <c r="S535" s="2">
        <v>1</v>
      </c>
      <c r="T535" s="2">
        <v>4</v>
      </c>
      <c r="U535" s="2">
        <f>IF(SUMIFS(StandardName[RankValueInTheRanking],StandardName[StandardizedName],ARWU_Webometrics[[#This Row],[Nazwa uczelni]],StandardName[Ranking],$U$1)=0,$N$3,SUMIFS(StandardName[RankValueInTheRanking],StandardName[StandardizedName],ARWU_Webometrics[[#This Row],[Nazwa uczelni]],StandardName[Ranking],$U$1))</f>
        <v>40</v>
      </c>
      <c r="V535" s="2">
        <f>IF(SUMIFS(StandardName[RankValueInTheRanking],StandardName[StandardizedName],ARWU_Webometrics[[#This Row],[Nazwa uczelni]],StandardName[Ranking],$V$1)=0,$N$3,SUMIFS(StandardName[RankValueInTheRanking],StandardName[StandardizedName],ARWU_Webometrics[[#This Row],[Nazwa uczelni]],StandardName[Ranking],$V$1))</f>
        <v>44</v>
      </c>
      <c r="W535" s="2">
        <f>IF(SUMIFS(StandardName[RankValueInTheRanking],StandardName[StandardizedName],ARWU_Webometrics[[#This Row],[Nazwa uczelni]],StandardName[Ranking],$W$1)=0,$N$3,SUMIFS(StandardName[RankValueInTheRanking],StandardName[StandardizedName],ARWU_Webometrics[[#This Row],[Nazwa uczelni]],StandardName[Ranking],$W$1))</f>
        <v>47</v>
      </c>
      <c r="X535" s="2">
        <f>IF(SUMIFS(StandardName[RankValueInTheRanking],StandardName[StandardizedName],ARWU_Webometrics[[#This Row],[Nazwa uczelni]],StandardName[Ranking],$X$1)=0,$N$3,SUMIFS(StandardName[RankValueInTheRanking],StandardName[StandardizedName],ARWU_Webometrics[[#This Row],[Nazwa uczelni]],StandardName[Ranking],$X$1))</f>
        <v>27</v>
      </c>
      <c r="Y535" s="2">
        <f>SUM(ARWU_Webometrics[[#This Row],[THE_RV1000]:[Webometrics_RV1000]])</f>
        <v>158</v>
      </c>
      <c r="Z535" s="2">
        <v>40</v>
      </c>
      <c r="AA535" s="2">
        <v>44</v>
      </c>
      <c r="AB535" s="2">
        <v>47</v>
      </c>
      <c r="AC535" s="2">
        <v>27</v>
      </c>
    </row>
    <row r="536" spans="9:29" outlineLevel="1" x14ac:dyDescent="0.45">
      <c r="I536" s="1" t="s">
        <v>619</v>
      </c>
      <c r="O536" s="1" t="s">
        <v>296</v>
      </c>
      <c r="P536" s="1">
        <v>1</v>
      </c>
      <c r="Q536" s="1">
        <v>1</v>
      </c>
      <c r="R536" s="1">
        <v>1</v>
      </c>
      <c r="S536" s="1">
        <v>1</v>
      </c>
      <c r="T536" s="1">
        <v>4</v>
      </c>
      <c r="U536" s="2">
        <f>IF(SUMIFS(StandardName[RankValueInTheRanking],StandardName[StandardizedName],ARWU_Webometrics[[#This Row],[Nazwa uczelni]],StandardName[Ranking],$U$1)=0,$N$3,SUMIFS(StandardName[RankValueInTheRanking],StandardName[StandardizedName],ARWU_Webometrics[[#This Row],[Nazwa uczelni]],StandardName[Ranking],$U$1))</f>
        <v>54</v>
      </c>
      <c r="V536" s="2">
        <f>IF(SUMIFS(StandardName[RankValueInTheRanking],StandardName[StandardizedName],ARWU_Webometrics[[#This Row],[Nazwa uczelni]],StandardName[Ranking],$V$1)=0,$N$3,SUMIFS(StandardName[RankValueInTheRanking],StandardName[StandardizedName],ARWU_Webometrics[[#This Row],[Nazwa uczelni]],StandardName[Ranking],$V$1))</f>
        <v>38</v>
      </c>
      <c r="W536" s="2">
        <f>IF(SUMIFS(StandardName[RankValueInTheRanking],StandardName[StandardizedName],ARWU_Webometrics[[#This Row],[Nazwa uczelni]],StandardName[Ranking],$W$1)=0,$N$3,SUMIFS(StandardName[RankValueInTheRanking],StandardName[StandardizedName],ARWU_Webometrics[[#This Row],[Nazwa uczelni]],StandardName[Ranking],$W$1))</f>
        <v>28</v>
      </c>
      <c r="X536" s="2">
        <f>IF(SUMIFS(StandardName[RankValueInTheRanking],StandardName[StandardizedName],ARWU_Webometrics[[#This Row],[Nazwa uczelni]],StandardName[Ranking],$X$1)=0,$N$3,SUMIFS(StandardName[RankValueInTheRanking],StandardName[StandardizedName],ARWU_Webometrics[[#This Row],[Nazwa uczelni]],StandardName[Ranking],$X$1))</f>
        <v>61</v>
      </c>
      <c r="Y536" s="2">
        <f>SUM(ARWU_Webometrics[[#This Row],[THE_RV1000]:[Webometrics_RV1000]])</f>
        <v>181</v>
      </c>
      <c r="Z536" s="1">
        <v>54</v>
      </c>
      <c r="AA536" s="1">
        <v>38</v>
      </c>
      <c r="AB536" s="1">
        <v>28</v>
      </c>
      <c r="AC536" s="1">
        <v>61</v>
      </c>
    </row>
    <row r="537" spans="9:29" outlineLevel="1" x14ac:dyDescent="0.45">
      <c r="I537" s="1" t="s">
        <v>594</v>
      </c>
      <c r="O537" s="2" t="s">
        <v>276</v>
      </c>
      <c r="P537" s="2">
        <v>1</v>
      </c>
      <c r="Q537" s="2">
        <v>1</v>
      </c>
      <c r="R537" s="2">
        <v>1</v>
      </c>
      <c r="S537" s="2">
        <v>1</v>
      </c>
      <c r="T537" s="2">
        <v>4</v>
      </c>
      <c r="U537" s="2">
        <f>IF(SUMIFS(StandardName[RankValueInTheRanking],StandardName[StandardizedName],ARWU_Webometrics[[#This Row],[Nazwa uczelni]],StandardName[Ranking],$U$1)=0,$N$3,SUMIFS(StandardName[RankValueInTheRanking],StandardName[StandardizedName],ARWU_Webometrics[[#This Row],[Nazwa uczelni]],StandardName[Ranking],$U$1))</f>
        <v>50</v>
      </c>
      <c r="V537" s="2">
        <f>IF(SUMIFS(StandardName[RankValueInTheRanking],StandardName[StandardizedName],ARWU_Webometrics[[#This Row],[Nazwa uczelni]],StandardName[Ranking],$V$1)=0,$N$3,SUMIFS(StandardName[RankValueInTheRanking],StandardName[StandardizedName],ARWU_Webometrics[[#This Row],[Nazwa uczelni]],StandardName[Ranking],$V$1))</f>
        <v>37</v>
      </c>
      <c r="W537" s="2">
        <f>IF(SUMIFS(StandardName[RankValueInTheRanking],StandardName[StandardizedName],ARWU_Webometrics[[#This Row],[Nazwa uczelni]],StandardName[Ranking],$W$1)=0,$N$3,SUMIFS(StandardName[RankValueInTheRanking],StandardName[StandardizedName],ARWU_Webometrics[[#This Row],[Nazwa uczelni]],StandardName[Ranking],$W$1))</f>
        <v>72</v>
      </c>
      <c r="X537" s="2">
        <f>IF(SUMIFS(StandardName[RankValueInTheRanking],StandardName[StandardizedName],ARWU_Webometrics[[#This Row],[Nazwa uczelni]],StandardName[Ranking],$X$1)=0,$N$3,SUMIFS(StandardName[RankValueInTheRanking],StandardName[StandardizedName],ARWU_Webometrics[[#This Row],[Nazwa uczelni]],StandardName[Ranking],$X$1))</f>
        <v>25</v>
      </c>
      <c r="Y537" s="2">
        <f>SUM(ARWU_Webometrics[[#This Row],[THE_RV1000]:[Webometrics_RV1000]])</f>
        <v>184</v>
      </c>
      <c r="Z537" s="2">
        <v>50</v>
      </c>
      <c r="AA537" s="2">
        <v>37</v>
      </c>
      <c r="AB537" s="2">
        <v>72</v>
      </c>
      <c r="AC537" s="2">
        <v>25</v>
      </c>
    </row>
    <row r="538" spans="9:29" outlineLevel="1" x14ac:dyDescent="0.45">
      <c r="I538" s="2" t="s">
        <v>420</v>
      </c>
      <c r="O538" s="1" t="s">
        <v>199</v>
      </c>
      <c r="P538" s="1">
        <v>1</v>
      </c>
      <c r="Q538" s="1">
        <v>1</v>
      </c>
      <c r="R538" s="1">
        <v>1</v>
      </c>
      <c r="S538" s="1">
        <v>1</v>
      </c>
      <c r="T538" s="1">
        <v>4</v>
      </c>
      <c r="U538" s="2">
        <f>IF(SUMIFS(StandardName[RankValueInTheRanking],StandardName[StandardizedName],ARWU_Webometrics[[#This Row],[Nazwa uczelni]],StandardName[Ranking],$U$1)=0,$N$3,SUMIFS(StandardName[RankValueInTheRanking],StandardName[StandardizedName],ARWU_Webometrics[[#This Row],[Nazwa uczelni]],StandardName[Ranking],$U$1))</f>
        <v>35</v>
      </c>
      <c r="V538" s="2">
        <f>IF(SUMIFS(StandardName[RankValueInTheRanking],StandardName[StandardizedName],ARWU_Webometrics[[#This Row],[Nazwa uczelni]],StandardName[Ranking],$V$1)=0,$N$3,SUMIFS(StandardName[RankValueInTheRanking],StandardName[StandardizedName],ARWU_Webometrics[[#This Row],[Nazwa uczelni]],StandardName[Ranking],$V$1))</f>
        <v>48</v>
      </c>
      <c r="W538" s="2">
        <f>IF(SUMIFS(StandardName[RankValueInTheRanking],StandardName[StandardizedName],ARWU_Webometrics[[#This Row],[Nazwa uczelni]],StandardName[Ranking],$W$1)=0,$N$3,SUMIFS(StandardName[RankValueInTheRanking],StandardName[StandardizedName],ARWU_Webometrics[[#This Row],[Nazwa uczelni]],StandardName[Ranking],$W$1))</f>
        <v>37</v>
      </c>
      <c r="X538" s="2">
        <f>IF(SUMIFS(StandardName[RankValueInTheRanking],StandardName[StandardizedName],ARWU_Webometrics[[#This Row],[Nazwa uczelni]],StandardName[Ranking],$X$1)=0,$N$3,SUMIFS(StandardName[RankValueInTheRanking],StandardName[StandardizedName],ARWU_Webometrics[[#This Row],[Nazwa uczelni]],StandardName[Ranking],$X$1))</f>
        <v>67</v>
      </c>
      <c r="Y538" s="2">
        <f>SUM(ARWU_Webometrics[[#This Row],[THE_RV1000]:[Webometrics_RV1000]])</f>
        <v>187</v>
      </c>
      <c r="Z538" s="1">
        <v>35</v>
      </c>
      <c r="AA538" s="1">
        <v>48</v>
      </c>
      <c r="AB538" s="1">
        <v>37</v>
      </c>
      <c r="AC538" s="1">
        <v>67</v>
      </c>
    </row>
    <row r="539" spans="9:29" outlineLevel="1" x14ac:dyDescent="0.45">
      <c r="I539" s="2" t="s">
        <v>388</v>
      </c>
      <c r="O539" s="2" t="s">
        <v>816</v>
      </c>
      <c r="P539" s="2">
        <v>1</v>
      </c>
      <c r="Q539" s="2">
        <v>1</v>
      </c>
      <c r="R539" s="2">
        <v>1</v>
      </c>
      <c r="S539" s="2">
        <v>1</v>
      </c>
      <c r="T539" s="2">
        <v>4</v>
      </c>
      <c r="U539" s="2">
        <f>IF(SUMIFS(StandardName[RankValueInTheRanking],StandardName[StandardizedName],ARWU_Webometrics[[#This Row],[Nazwa uczelni]],StandardName[Ranking],$U$1)=0,$N$3,SUMIFS(StandardName[RankValueInTheRanking],StandardName[StandardizedName],ARWU_Webometrics[[#This Row],[Nazwa uczelni]],StandardName[Ranking],$U$1))</f>
        <v>53</v>
      </c>
      <c r="V539" s="2">
        <f>IF(SUMIFS(StandardName[RankValueInTheRanking],StandardName[StandardizedName],ARWU_Webometrics[[#This Row],[Nazwa uczelni]],StandardName[Ranking],$V$1)=0,$N$3,SUMIFS(StandardName[RankValueInTheRanking],StandardName[StandardizedName],ARWU_Webometrics[[#This Row],[Nazwa uczelni]],StandardName[Ranking],$V$1))</f>
        <v>47</v>
      </c>
      <c r="W539" s="2">
        <f>IF(SUMIFS(StandardName[RankValueInTheRanking],StandardName[StandardizedName],ARWU_Webometrics[[#This Row],[Nazwa uczelni]],StandardName[Ranking],$W$1)=0,$N$3,SUMIFS(StandardName[RankValueInTheRanking],StandardName[StandardizedName],ARWU_Webometrics[[#This Row],[Nazwa uczelni]],StandardName[Ranking],$W$1))</f>
        <v>50</v>
      </c>
      <c r="X539" s="2">
        <f>IF(SUMIFS(StandardName[RankValueInTheRanking],StandardName[StandardizedName],ARWU_Webometrics[[#This Row],[Nazwa uczelni]],StandardName[Ranking],$X$1)=0,$N$3,SUMIFS(StandardName[RankValueInTheRanking],StandardName[StandardizedName],ARWU_Webometrics[[#This Row],[Nazwa uczelni]],StandardName[Ranking],$X$1))</f>
        <v>52</v>
      </c>
      <c r="Y539" s="2">
        <f>SUM(ARWU_Webometrics[[#This Row],[THE_RV1000]:[Webometrics_RV1000]])</f>
        <v>202</v>
      </c>
      <c r="Z539" s="2">
        <v>53</v>
      </c>
      <c r="AA539" s="2">
        <v>47</v>
      </c>
      <c r="AB539" s="2">
        <v>50</v>
      </c>
      <c r="AC539" s="2">
        <v>52</v>
      </c>
    </row>
    <row r="540" spans="9:29" outlineLevel="1" x14ac:dyDescent="0.45">
      <c r="I540" s="1" t="s">
        <v>618</v>
      </c>
      <c r="O540" s="1" t="s">
        <v>572</v>
      </c>
      <c r="P540" s="1">
        <v>1</v>
      </c>
      <c r="Q540" s="1">
        <v>1</v>
      </c>
      <c r="R540" s="1">
        <v>1</v>
      </c>
      <c r="S540" s="1">
        <v>1</v>
      </c>
      <c r="T540" s="1">
        <v>4</v>
      </c>
      <c r="U540" s="2">
        <f>IF(SUMIFS(StandardName[RankValueInTheRanking],StandardName[StandardizedName],ARWU_Webometrics[[#This Row],[Nazwa uczelni]],StandardName[Ranking],$U$1)=0,$N$3,SUMIFS(StandardName[RankValueInTheRanking],StandardName[StandardizedName],ARWU_Webometrics[[#This Row],[Nazwa uczelni]],StandardName[Ranking],$U$1))</f>
        <v>54</v>
      </c>
      <c r="V540" s="2">
        <f>IF(SUMIFS(StandardName[RankValueInTheRanking],StandardName[StandardizedName],ARWU_Webometrics[[#This Row],[Nazwa uczelni]],StandardName[Ranking],$V$1)=0,$N$3,SUMIFS(StandardName[RankValueInTheRanking],StandardName[StandardizedName],ARWU_Webometrics[[#This Row],[Nazwa uczelni]],StandardName[Ranking],$V$1))</f>
        <v>60</v>
      </c>
      <c r="W540" s="2">
        <f>IF(SUMIFS(StandardName[RankValueInTheRanking],StandardName[StandardizedName],ARWU_Webometrics[[#This Row],[Nazwa uczelni]],StandardName[Ranking],$W$1)=0,$N$3,SUMIFS(StandardName[RankValueInTheRanking],StandardName[StandardizedName],ARWU_Webometrics[[#This Row],[Nazwa uczelni]],StandardName[Ranking],$W$1))</f>
        <v>41</v>
      </c>
      <c r="X540" s="2">
        <f>IF(SUMIFS(StandardName[RankValueInTheRanking],StandardName[StandardizedName],ARWU_Webometrics[[#This Row],[Nazwa uczelni]],StandardName[Ranking],$X$1)=0,$N$3,SUMIFS(StandardName[RankValueInTheRanking],StandardName[StandardizedName],ARWU_Webometrics[[#This Row],[Nazwa uczelni]],StandardName[Ranking],$X$1))</f>
        <v>50</v>
      </c>
      <c r="Y540" s="2">
        <f>SUM(ARWU_Webometrics[[#This Row],[THE_RV1000]:[Webometrics_RV1000]])</f>
        <v>205</v>
      </c>
      <c r="Z540" s="1">
        <v>54</v>
      </c>
      <c r="AA540" s="1">
        <v>60</v>
      </c>
      <c r="AB540" s="1">
        <v>41</v>
      </c>
      <c r="AC540" s="1">
        <v>50</v>
      </c>
    </row>
    <row r="541" spans="9:29" outlineLevel="1" x14ac:dyDescent="0.45">
      <c r="I541" s="1" t="s">
        <v>266</v>
      </c>
      <c r="O541" s="2" t="s">
        <v>253</v>
      </c>
      <c r="P541" s="2">
        <v>1</v>
      </c>
      <c r="Q541" s="2">
        <v>1</v>
      </c>
      <c r="R541" s="2">
        <v>1</v>
      </c>
      <c r="S541" s="2">
        <v>1</v>
      </c>
      <c r="T541" s="2">
        <v>4</v>
      </c>
      <c r="U541" s="2">
        <f>IF(SUMIFS(StandardName[RankValueInTheRanking],StandardName[StandardizedName],ARWU_Webometrics[[#This Row],[Nazwa uczelni]],StandardName[Ranking],$U$1)=0,$N$3,SUMIFS(StandardName[RankValueInTheRanking],StandardName[StandardizedName],ARWU_Webometrics[[#This Row],[Nazwa uczelni]],StandardName[Ranking],$U$1))</f>
        <v>46</v>
      </c>
      <c r="V541" s="2">
        <f>IF(SUMIFS(StandardName[RankValueInTheRanking],StandardName[StandardizedName],ARWU_Webometrics[[#This Row],[Nazwa uczelni]],StandardName[Ranking],$V$1)=0,$N$3,SUMIFS(StandardName[RankValueInTheRanking],StandardName[StandardizedName],ARWU_Webometrics[[#This Row],[Nazwa uczelni]],StandardName[Ranking],$V$1))</f>
        <v>73</v>
      </c>
      <c r="W541" s="2">
        <f>IF(SUMIFS(StandardName[RankValueInTheRanking],StandardName[StandardizedName],ARWU_Webometrics[[#This Row],[Nazwa uczelni]],StandardName[Ranking],$W$1)=0,$N$3,SUMIFS(StandardName[RankValueInTheRanking],StandardName[StandardizedName],ARWU_Webometrics[[#This Row],[Nazwa uczelni]],StandardName[Ranking],$W$1))</f>
        <v>31</v>
      </c>
      <c r="X541" s="2">
        <f>IF(SUMIFS(StandardName[RankValueInTheRanking],StandardName[StandardizedName],ARWU_Webometrics[[#This Row],[Nazwa uczelni]],StandardName[Ranking],$X$1)=0,$N$3,SUMIFS(StandardName[RankValueInTheRanking],StandardName[StandardizedName],ARWU_Webometrics[[#This Row],[Nazwa uczelni]],StandardName[Ranking],$X$1))</f>
        <v>60</v>
      </c>
      <c r="Y541" s="2">
        <f>SUM(ARWU_Webometrics[[#This Row],[THE_RV1000]:[Webometrics_RV1000]])</f>
        <v>210</v>
      </c>
      <c r="Z541" s="2">
        <v>46</v>
      </c>
      <c r="AA541" s="2">
        <v>73</v>
      </c>
      <c r="AB541" s="2">
        <v>31</v>
      </c>
      <c r="AC541" s="2">
        <v>60</v>
      </c>
    </row>
    <row r="542" spans="9:29" outlineLevel="1" x14ac:dyDescent="0.45">
      <c r="I542" s="1" t="s">
        <v>832</v>
      </c>
      <c r="O542" s="1" t="s">
        <v>355</v>
      </c>
      <c r="P542" s="1">
        <v>1</v>
      </c>
      <c r="Q542" s="1">
        <v>1</v>
      </c>
      <c r="R542" s="1">
        <v>1</v>
      </c>
      <c r="S542" s="1">
        <v>1</v>
      </c>
      <c r="T542" s="1">
        <v>4</v>
      </c>
      <c r="U542" s="2">
        <f>IF(SUMIFS(StandardName[RankValueInTheRanking],StandardName[StandardizedName],ARWU_Webometrics[[#This Row],[Nazwa uczelni]],StandardName[Ranking],$U$1)=0,$N$3,SUMIFS(StandardName[RankValueInTheRanking],StandardName[StandardizedName],ARWU_Webometrics[[#This Row],[Nazwa uczelni]],StandardName[Ranking],$U$1))</f>
        <v>67</v>
      </c>
      <c r="V542" s="2">
        <f>IF(SUMIFS(StandardName[RankValueInTheRanking],StandardName[StandardizedName],ARWU_Webometrics[[#This Row],[Nazwa uczelni]],StandardName[Ranking],$V$1)=0,$N$3,SUMIFS(StandardName[RankValueInTheRanking],StandardName[StandardizedName],ARWU_Webometrics[[#This Row],[Nazwa uczelni]],StandardName[Ranking],$V$1))</f>
        <v>36</v>
      </c>
      <c r="W542" s="2">
        <f>IF(SUMIFS(StandardName[RankValueInTheRanking],StandardName[StandardizedName],ARWU_Webometrics[[#This Row],[Nazwa uczelni]],StandardName[Ranking],$W$1)=0,$N$3,SUMIFS(StandardName[RankValueInTheRanking],StandardName[StandardizedName],ARWU_Webometrics[[#This Row],[Nazwa uczelni]],StandardName[Ranking],$W$1))</f>
        <v>42</v>
      </c>
      <c r="X542" s="2">
        <f>IF(SUMIFS(StandardName[RankValueInTheRanking],StandardName[StandardizedName],ARWU_Webometrics[[#This Row],[Nazwa uczelni]],StandardName[Ranking],$X$1)=0,$N$3,SUMIFS(StandardName[RankValueInTheRanking],StandardName[StandardizedName],ARWU_Webometrics[[#This Row],[Nazwa uczelni]],StandardName[Ranking],$X$1))</f>
        <v>68</v>
      </c>
      <c r="Y542" s="2">
        <f>SUM(ARWU_Webometrics[[#This Row],[THE_RV1000]:[Webometrics_RV1000]])</f>
        <v>213</v>
      </c>
      <c r="Z542" s="1">
        <v>67</v>
      </c>
      <c r="AA542" s="1">
        <v>36</v>
      </c>
      <c r="AB542" s="1">
        <v>42</v>
      </c>
      <c r="AC542" s="1">
        <v>68</v>
      </c>
    </row>
    <row r="543" spans="9:29" outlineLevel="1" x14ac:dyDescent="0.45">
      <c r="I543" s="2" t="s">
        <v>749</v>
      </c>
      <c r="O543" s="2" t="s">
        <v>266</v>
      </c>
      <c r="P543" s="2">
        <v>1</v>
      </c>
      <c r="Q543" s="2">
        <v>1</v>
      </c>
      <c r="R543" s="2">
        <v>1</v>
      </c>
      <c r="S543" s="2">
        <v>1</v>
      </c>
      <c r="T543" s="2">
        <v>4</v>
      </c>
      <c r="U543" s="2">
        <f>IF(SUMIFS(StandardName[RankValueInTheRanking],StandardName[StandardizedName],ARWU_Webometrics[[#This Row],[Nazwa uczelni]],StandardName[Ranking],$U$1)=0,$N$3,SUMIFS(StandardName[RankValueInTheRanking],StandardName[StandardizedName],ARWU_Webometrics[[#This Row],[Nazwa uczelni]],StandardName[Ranking],$U$1))</f>
        <v>48</v>
      </c>
      <c r="V543" s="2">
        <f>IF(SUMIFS(StandardName[RankValueInTheRanking],StandardName[StandardizedName],ARWU_Webometrics[[#This Row],[Nazwa uczelni]],StandardName[Ranking],$V$1)=0,$N$3,SUMIFS(StandardName[RankValueInTheRanking],StandardName[StandardizedName],ARWU_Webometrics[[#This Row],[Nazwa uczelni]],StandardName[Ranking],$V$1))</f>
        <v>49</v>
      </c>
      <c r="W543" s="2">
        <f>IF(SUMIFS(StandardName[RankValueInTheRanking],StandardName[StandardizedName],ARWU_Webometrics[[#This Row],[Nazwa uczelni]],StandardName[Ranking],$W$1)=0,$N$3,SUMIFS(StandardName[RankValueInTheRanking],StandardName[StandardizedName],ARWU_Webometrics[[#This Row],[Nazwa uczelni]],StandardName[Ranking],$W$1))</f>
        <v>85</v>
      </c>
      <c r="X543" s="2">
        <f>IF(SUMIFS(StandardName[RankValueInTheRanking],StandardName[StandardizedName],ARWU_Webometrics[[#This Row],[Nazwa uczelni]],StandardName[Ranking],$X$1)=0,$N$3,SUMIFS(StandardName[RankValueInTheRanking],StandardName[StandardizedName],ARWU_Webometrics[[#This Row],[Nazwa uczelni]],StandardName[Ranking],$X$1))</f>
        <v>33</v>
      </c>
      <c r="Y543" s="2">
        <f>SUM(ARWU_Webometrics[[#This Row],[THE_RV1000]:[Webometrics_RV1000]])</f>
        <v>215</v>
      </c>
      <c r="Z543" s="2">
        <v>48</v>
      </c>
      <c r="AA543" s="2">
        <v>49</v>
      </c>
      <c r="AB543" s="2">
        <v>85</v>
      </c>
      <c r="AC543" s="2">
        <v>33</v>
      </c>
    </row>
    <row r="544" spans="9:29" outlineLevel="1" x14ac:dyDescent="0.45">
      <c r="I544" s="2" t="s">
        <v>812</v>
      </c>
      <c r="O544" s="1" t="s">
        <v>412</v>
      </c>
      <c r="P544" s="1">
        <v>1</v>
      </c>
      <c r="Q544" s="1">
        <v>1</v>
      </c>
      <c r="R544" s="1">
        <v>1</v>
      </c>
      <c r="S544" s="1">
        <v>1</v>
      </c>
      <c r="T544" s="1">
        <v>4</v>
      </c>
      <c r="U544" s="2">
        <f>IF(SUMIFS(StandardName[RankValueInTheRanking],StandardName[StandardizedName],ARWU_Webometrics[[#This Row],[Nazwa uczelni]],StandardName[Ranking],$U$1)=0,$N$3,SUMIFS(StandardName[RankValueInTheRanking],StandardName[StandardizedName],ARWU_Webometrics[[#This Row],[Nazwa uczelni]],StandardName[Ranking],$U$1))</f>
        <v>81</v>
      </c>
      <c r="V544" s="2">
        <f>IF(SUMIFS(StandardName[RankValueInTheRanking],StandardName[StandardizedName],ARWU_Webometrics[[#This Row],[Nazwa uczelni]],StandardName[Ranking],$V$1)=0,$N$3,SUMIFS(StandardName[RankValueInTheRanking],StandardName[StandardizedName],ARWU_Webometrics[[#This Row],[Nazwa uczelni]],StandardName[Ranking],$V$1))</f>
        <v>33</v>
      </c>
      <c r="W544" s="2">
        <f>IF(SUMIFS(StandardName[RankValueInTheRanking],StandardName[StandardizedName],ARWU_Webometrics[[#This Row],[Nazwa uczelni]],StandardName[Ranking],$W$1)=0,$N$3,SUMIFS(StandardName[RankValueInTheRanking],StandardName[StandardizedName],ARWU_Webometrics[[#This Row],[Nazwa uczelni]],StandardName[Ranking],$W$1))</f>
        <v>83</v>
      </c>
      <c r="X544" s="2">
        <f>IF(SUMIFS(StandardName[RankValueInTheRanking],StandardName[StandardizedName],ARWU_Webometrics[[#This Row],[Nazwa uczelni]],StandardName[Ranking],$X$1)=0,$N$3,SUMIFS(StandardName[RankValueInTheRanking],StandardName[StandardizedName],ARWU_Webometrics[[#This Row],[Nazwa uczelni]],StandardName[Ranking],$X$1))</f>
        <v>20</v>
      </c>
      <c r="Y544" s="2">
        <f>SUM(ARWU_Webometrics[[#This Row],[THE_RV1000]:[Webometrics_RV1000]])</f>
        <v>217</v>
      </c>
      <c r="Z544" s="1">
        <v>81</v>
      </c>
      <c r="AA544" s="1">
        <v>33</v>
      </c>
      <c r="AB544" s="1">
        <v>83</v>
      </c>
      <c r="AC544" s="1">
        <v>20</v>
      </c>
    </row>
    <row r="545" spans="9:29" outlineLevel="1" x14ac:dyDescent="0.45">
      <c r="I545" s="1" t="s">
        <v>561</v>
      </c>
      <c r="O545" s="2" t="s">
        <v>286</v>
      </c>
      <c r="P545" s="2">
        <v>1</v>
      </c>
      <c r="Q545" s="2">
        <v>1</v>
      </c>
      <c r="R545" s="2">
        <v>1</v>
      </c>
      <c r="S545" s="2">
        <v>1</v>
      </c>
      <c r="T545" s="2">
        <v>4</v>
      </c>
      <c r="U545" s="2">
        <f>IF(SUMIFS(StandardName[RankValueInTheRanking],StandardName[StandardizedName],ARWU_Webometrics[[#This Row],[Nazwa uczelni]],StandardName[Ranking],$U$1)=0,$N$3,SUMIFS(StandardName[RankValueInTheRanking],StandardName[StandardizedName],ARWU_Webometrics[[#This Row],[Nazwa uczelni]],StandardName[Ranking],$U$1))</f>
        <v>52</v>
      </c>
      <c r="V545" s="2">
        <f>IF(SUMIFS(StandardName[RankValueInTheRanking],StandardName[StandardizedName],ARWU_Webometrics[[#This Row],[Nazwa uczelni]],StandardName[Ranking],$V$1)=0,$N$3,SUMIFS(StandardName[RankValueInTheRanking],StandardName[StandardizedName],ARWU_Webometrics[[#This Row],[Nazwa uczelni]],StandardName[Ranking],$V$1))</f>
        <v>54</v>
      </c>
      <c r="W545" s="2">
        <f>IF(SUMIFS(StandardName[RankValueInTheRanking],StandardName[StandardizedName],ARWU_Webometrics[[#This Row],[Nazwa uczelni]],StandardName[Ranking],$W$1)=0,$N$3,SUMIFS(StandardName[RankValueInTheRanking],StandardName[StandardizedName],ARWU_Webometrics[[#This Row],[Nazwa uczelni]],StandardName[Ranking],$W$1))</f>
        <v>46</v>
      </c>
      <c r="X545" s="2">
        <f>IF(SUMIFS(StandardName[RankValueInTheRanking],StandardName[StandardizedName],ARWU_Webometrics[[#This Row],[Nazwa uczelni]],StandardName[Ranking],$X$1)=0,$N$3,SUMIFS(StandardName[RankValueInTheRanking],StandardName[StandardizedName],ARWU_Webometrics[[#This Row],[Nazwa uczelni]],StandardName[Ranking],$X$1))</f>
        <v>69</v>
      </c>
      <c r="Y545" s="2">
        <f>SUM(ARWU_Webometrics[[#This Row],[THE_RV1000]:[Webometrics_RV1000]])</f>
        <v>221</v>
      </c>
      <c r="Z545" s="2">
        <v>52</v>
      </c>
      <c r="AA545" s="2">
        <v>54</v>
      </c>
      <c r="AB545" s="2">
        <v>46</v>
      </c>
      <c r="AC545" s="2">
        <v>69</v>
      </c>
    </row>
    <row r="546" spans="9:29" outlineLevel="1" x14ac:dyDescent="0.45">
      <c r="I546" s="2" t="s">
        <v>845</v>
      </c>
      <c r="O546" s="1" t="s">
        <v>810</v>
      </c>
      <c r="P546" s="1">
        <v>1</v>
      </c>
      <c r="Q546" s="1">
        <v>1</v>
      </c>
      <c r="R546" s="1">
        <v>1</v>
      </c>
      <c r="S546" s="1">
        <v>1</v>
      </c>
      <c r="T546" s="1">
        <v>4</v>
      </c>
      <c r="U546" s="2">
        <f>IF(SUMIFS(StandardName[RankValueInTheRanking],StandardName[StandardizedName],ARWU_Webometrics[[#This Row],[Nazwa uczelni]],StandardName[Ranking],$U$1)=0,$N$3,SUMIFS(StandardName[RankValueInTheRanking],StandardName[StandardizedName],ARWU_Webometrics[[#This Row],[Nazwa uczelni]],StandardName[Ranking],$U$1))</f>
        <v>71</v>
      </c>
      <c r="V546" s="2">
        <f>IF(SUMIFS(StandardName[RankValueInTheRanking],StandardName[StandardizedName],ARWU_Webometrics[[#This Row],[Nazwa uczelni]],StandardName[Ranking],$V$1)=0,$N$3,SUMIFS(StandardName[RankValueInTheRanking],StandardName[StandardizedName],ARWU_Webometrics[[#This Row],[Nazwa uczelni]],StandardName[Ranking],$V$1))</f>
        <v>64</v>
      </c>
      <c r="W546" s="2">
        <f>IF(SUMIFS(StandardName[RankValueInTheRanking],StandardName[StandardizedName],ARWU_Webometrics[[#This Row],[Nazwa uczelni]],StandardName[Ranking],$W$1)=0,$N$3,SUMIFS(StandardName[RankValueInTheRanking],StandardName[StandardizedName],ARWU_Webometrics[[#This Row],[Nazwa uczelni]],StandardName[Ranking],$W$1))</f>
        <v>45</v>
      </c>
      <c r="X546" s="2">
        <f>IF(SUMIFS(StandardName[RankValueInTheRanking],StandardName[StandardizedName],ARWU_Webometrics[[#This Row],[Nazwa uczelni]],StandardName[Ranking],$X$1)=0,$N$3,SUMIFS(StandardName[RankValueInTheRanking],StandardName[StandardizedName],ARWU_Webometrics[[#This Row],[Nazwa uczelni]],StandardName[Ranking],$X$1))</f>
        <v>41</v>
      </c>
      <c r="Y546" s="2">
        <f>SUM(ARWU_Webometrics[[#This Row],[THE_RV1000]:[Webometrics_RV1000]])</f>
        <v>221</v>
      </c>
      <c r="Z546" s="1">
        <v>71</v>
      </c>
      <c r="AA546" s="1">
        <v>64</v>
      </c>
      <c r="AB546" s="1">
        <v>45</v>
      </c>
      <c r="AC546" s="1">
        <v>41</v>
      </c>
    </row>
    <row r="547" spans="9:29" outlineLevel="1" x14ac:dyDescent="0.45">
      <c r="I547" s="1" t="s">
        <v>133</v>
      </c>
      <c r="O547" s="2" t="s">
        <v>179</v>
      </c>
      <c r="P547" s="2">
        <v>1</v>
      </c>
      <c r="Q547" s="2">
        <v>1</v>
      </c>
      <c r="R547" s="2">
        <v>1</v>
      </c>
      <c r="S547" s="2">
        <v>1</v>
      </c>
      <c r="T547" s="2">
        <v>4</v>
      </c>
      <c r="U547" s="2">
        <f>IF(SUMIFS(StandardName[RankValueInTheRanking],StandardName[StandardizedName],ARWU_Webometrics[[#This Row],[Nazwa uczelni]],StandardName[Ranking],$U$1)=0,$N$3,SUMIFS(StandardName[RankValueInTheRanking],StandardName[StandardizedName],ARWU_Webometrics[[#This Row],[Nazwa uczelni]],StandardName[Ranking],$U$1))</f>
        <v>31</v>
      </c>
      <c r="V547" s="2">
        <f>IF(SUMIFS(StandardName[RankValueInTheRanking],StandardName[StandardizedName],ARWU_Webometrics[[#This Row],[Nazwa uczelni]],StandardName[Ranking],$V$1)=0,$N$3,SUMIFS(StandardName[RankValueInTheRanking],StandardName[StandardizedName],ARWU_Webometrics[[#This Row],[Nazwa uczelni]],StandardName[Ranking],$V$1))</f>
        <v>96</v>
      </c>
      <c r="W547" s="2">
        <f>IF(SUMIFS(StandardName[RankValueInTheRanking],StandardName[StandardizedName],ARWU_Webometrics[[#This Row],[Nazwa uczelni]],StandardName[Ranking],$W$1)=0,$N$3,SUMIFS(StandardName[RankValueInTheRanking],StandardName[StandardizedName],ARWU_Webometrics[[#This Row],[Nazwa uczelni]],StandardName[Ranking],$W$1))</f>
        <v>21</v>
      </c>
      <c r="X547" s="2">
        <f>IF(SUMIFS(StandardName[RankValueInTheRanking],StandardName[StandardizedName],ARWU_Webometrics[[#This Row],[Nazwa uczelni]],StandardName[Ranking],$X$1)=0,$N$3,SUMIFS(StandardName[RankValueInTheRanking],StandardName[StandardizedName],ARWU_Webometrics[[#This Row],[Nazwa uczelni]],StandardName[Ranking],$X$1))</f>
        <v>75</v>
      </c>
      <c r="Y547" s="2">
        <f>SUM(ARWU_Webometrics[[#This Row],[THE_RV1000]:[Webometrics_RV1000]])</f>
        <v>223</v>
      </c>
      <c r="Z547" s="2">
        <v>31</v>
      </c>
      <c r="AA547" s="2">
        <v>96</v>
      </c>
      <c r="AB547" s="2">
        <v>21</v>
      </c>
      <c r="AC547" s="2">
        <v>75</v>
      </c>
    </row>
    <row r="548" spans="9:29" outlineLevel="1" x14ac:dyDescent="0.45">
      <c r="I548" s="1" t="s">
        <v>556</v>
      </c>
      <c r="O548" s="1" t="s">
        <v>614</v>
      </c>
      <c r="P548" s="1">
        <v>1</v>
      </c>
      <c r="Q548" s="1">
        <v>1</v>
      </c>
      <c r="R548" s="1">
        <v>1</v>
      </c>
      <c r="S548" s="1">
        <v>1</v>
      </c>
      <c r="T548" s="1">
        <v>4</v>
      </c>
      <c r="U548" s="2">
        <f>IF(SUMIFS(StandardName[RankValueInTheRanking],StandardName[StandardizedName],ARWU_Webometrics[[#This Row],[Nazwa uczelni]],StandardName[Ranking],$U$1)=0,$N$3,SUMIFS(StandardName[RankValueInTheRanking],StandardName[StandardizedName],ARWU_Webometrics[[#This Row],[Nazwa uczelni]],StandardName[Ranking],$U$1))</f>
        <v>36</v>
      </c>
      <c r="V548" s="2">
        <f>IF(SUMIFS(StandardName[RankValueInTheRanking],StandardName[StandardizedName],ARWU_Webometrics[[#This Row],[Nazwa uczelni]],StandardName[Ranking],$V$1)=0,$N$3,SUMIFS(StandardName[RankValueInTheRanking],StandardName[StandardizedName],ARWU_Webometrics[[#This Row],[Nazwa uczelni]],StandardName[Ranking],$V$1))</f>
        <v>88</v>
      </c>
      <c r="W548" s="2">
        <f>IF(SUMIFS(StandardName[RankValueInTheRanking],StandardName[StandardizedName],ARWU_Webometrics[[#This Row],[Nazwa uczelni]],StandardName[Ranking],$W$1)=0,$N$3,SUMIFS(StandardName[RankValueInTheRanking],StandardName[StandardizedName],ARWU_Webometrics[[#This Row],[Nazwa uczelni]],StandardName[Ranking],$W$1))</f>
        <v>19</v>
      </c>
      <c r="X548" s="2">
        <f>IF(SUMIFS(StandardName[RankValueInTheRanking],StandardName[StandardizedName],ARWU_Webometrics[[#This Row],[Nazwa uczelni]],StandardName[Ranking],$X$1)=0,$N$3,SUMIFS(StandardName[RankValueInTheRanking],StandardName[StandardizedName],ARWU_Webometrics[[#This Row],[Nazwa uczelni]],StandardName[Ranking],$X$1))</f>
        <v>87</v>
      </c>
      <c r="Y548" s="2">
        <f>SUM(ARWU_Webometrics[[#This Row],[THE_RV1000]:[Webometrics_RV1000]])</f>
        <v>230</v>
      </c>
      <c r="Z548" s="1">
        <v>36</v>
      </c>
      <c r="AA548" s="1">
        <v>88</v>
      </c>
      <c r="AB548" s="1">
        <v>19</v>
      </c>
      <c r="AC548" s="1">
        <v>87</v>
      </c>
    </row>
    <row r="549" spans="9:29" outlineLevel="1" x14ac:dyDescent="0.45">
      <c r="I549" s="1" t="s">
        <v>570</v>
      </c>
      <c r="O549" s="2" t="s">
        <v>245</v>
      </c>
      <c r="P549" s="2">
        <v>1</v>
      </c>
      <c r="Q549" s="2">
        <v>1</v>
      </c>
      <c r="R549" s="2">
        <v>1</v>
      </c>
      <c r="S549" s="2">
        <v>1</v>
      </c>
      <c r="T549" s="2">
        <v>4</v>
      </c>
      <c r="U549" s="2">
        <f>IF(SUMIFS(StandardName[RankValueInTheRanking],StandardName[StandardizedName],ARWU_Webometrics[[#This Row],[Nazwa uczelni]],StandardName[Ranking],$U$1)=0,$N$3,SUMIFS(StandardName[RankValueInTheRanking],StandardName[StandardizedName],ARWU_Webometrics[[#This Row],[Nazwa uczelni]],StandardName[Ranking],$U$1))</f>
        <v>44</v>
      </c>
      <c r="V549" s="2">
        <f>IF(SUMIFS(StandardName[RankValueInTheRanking],StandardName[StandardizedName],ARWU_Webometrics[[#This Row],[Nazwa uczelni]],StandardName[Ranking],$V$1)=0,$N$3,SUMIFS(StandardName[RankValueInTheRanking],StandardName[StandardizedName],ARWU_Webometrics[[#This Row],[Nazwa uczelni]],StandardName[Ranking],$V$1))</f>
        <v>75</v>
      </c>
      <c r="W549" s="2">
        <f>IF(SUMIFS(StandardName[RankValueInTheRanking],StandardName[StandardizedName],ARWU_Webometrics[[#This Row],[Nazwa uczelni]],StandardName[Ranking],$W$1)=0,$N$3,SUMIFS(StandardName[RankValueInTheRanking],StandardName[StandardizedName],ARWU_Webometrics[[#This Row],[Nazwa uczelni]],StandardName[Ranking],$W$1))</f>
        <v>57</v>
      </c>
      <c r="X549" s="2">
        <f>IF(SUMIFS(StandardName[RankValueInTheRanking],StandardName[StandardizedName],ARWU_Webometrics[[#This Row],[Nazwa uczelni]],StandardName[Ranking],$X$1)=0,$N$3,SUMIFS(StandardName[RankValueInTheRanking],StandardName[StandardizedName],ARWU_Webometrics[[#This Row],[Nazwa uczelni]],StandardName[Ranking],$X$1))</f>
        <v>57</v>
      </c>
      <c r="Y549" s="2">
        <f>SUM(ARWU_Webometrics[[#This Row],[THE_RV1000]:[Webometrics_RV1000]])</f>
        <v>233</v>
      </c>
      <c r="Z549" s="2">
        <v>44</v>
      </c>
      <c r="AA549" s="2">
        <v>75</v>
      </c>
      <c r="AB549" s="2">
        <v>57</v>
      </c>
      <c r="AC549" s="2">
        <v>57</v>
      </c>
    </row>
    <row r="550" spans="9:29" outlineLevel="1" x14ac:dyDescent="0.45">
      <c r="I550" s="1" t="s">
        <v>366</v>
      </c>
      <c r="O550" s="1" t="s">
        <v>337</v>
      </c>
      <c r="P550" s="1">
        <v>1</v>
      </c>
      <c r="Q550" s="1">
        <v>1</v>
      </c>
      <c r="R550" s="1">
        <v>1</v>
      </c>
      <c r="S550" s="1">
        <v>1</v>
      </c>
      <c r="T550" s="1">
        <v>4</v>
      </c>
      <c r="U550" s="2">
        <f>IF(SUMIFS(StandardName[RankValueInTheRanking],StandardName[StandardizedName],ARWU_Webometrics[[#This Row],[Nazwa uczelni]],StandardName[Ranking],$U$1)=0,$N$3,SUMIFS(StandardName[RankValueInTheRanking],StandardName[StandardizedName],ARWU_Webometrics[[#This Row],[Nazwa uczelni]],StandardName[Ranking],$U$1))</f>
        <v>62</v>
      </c>
      <c r="V550" s="2">
        <f>IF(SUMIFS(StandardName[RankValueInTheRanking],StandardName[StandardizedName],ARWU_Webometrics[[#This Row],[Nazwa uczelni]],StandardName[Ranking],$V$1)=0,$N$3,SUMIFS(StandardName[RankValueInTheRanking],StandardName[StandardizedName],ARWU_Webometrics[[#This Row],[Nazwa uczelni]],StandardName[Ranking],$V$1))</f>
        <v>79</v>
      </c>
      <c r="W550" s="2">
        <f>IF(SUMIFS(StandardName[RankValueInTheRanking],StandardName[StandardizedName],ARWU_Webometrics[[#This Row],[Nazwa uczelni]],StandardName[Ranking],$W$1)=0,$N$3,SUMIFS(StandardName[RankValueInTheRanking],StandardName[StandardizedName],ARWU_Webometrics[[#This Row],[Nazwa uczelni]],StandardName[Ranking],$W$1))</f>
        <v>30</v>
      </c>
      <c r="X550" s="2">
        <f>IF(SUMIFS(StandardName[RankValueInTheRanking],StandardName[StandardizedName],ARWU_Webometrics[[#This Row],[Nazwa uczelni]],StandardName[Ranking],$X$1)=0,$N$3,SUMIFS(StandardName[RankValueInTheRanking],StandardName[StandardizedName],ARWU_Webometrics[[#This Row],[Nazwa uczelni]],StandardName[Ranking],$X$1))</f>
        <v>79</v>
      </c>
      <c r="Y550" s="2">
        <f>SUM(ARWU_Webometrics[[#This Row],[THE_RV1000]:[Webometrics_RV1000]])</f>
        <v>250</v>
      </c>
      <c r="Z550" s="1">
        <v>62</v>
      </c>
      <c r="AA550" s="1">
        <v>79</v>
      </c>
      <c r="AB550" s="1">
        <v>30</v>
      </c>
      <c r="AC550" s="1">
        <v>79</v>
      </c>
    </row>
    <row r="551" spans="9:29" outlineLevel="1" x14ac:dyDescent="0.45">
      <c r="I551" s="2" t="s">
        <v>598</v>
      </c>
      <c r="O551" s="2" t="s">
        <v>306</v>
      </c>
      <c r="P551" s="2">
        <v>1</v>
      </c>
      <c r="Q551" s="2">
        <v>1</v>
      </c>
      <c r="R551" s="2">
        <v>1</v>
      </c>
      <c r="S551" s="2">
        <v>1</v>
      </c>
      <c r="T551" s="2">
        <v>4</v>
      </c>
      <c r="U551" s="2">
        <f>IF(SUMIFS(StandardName[RankValueInTheRanking],StandardName[StandardizedName],ARWU_Webometrics[[#This Row],[Nazwa uczelni]],StandardName[Ranking],$U$1)=0,$N$3,SUMIFS(StandardName[RankValueInTheRanking],StandardName[StandardizedName],ARWU_Webometrics[[#This Row],[Nazwa uczelni]],StandardName[Ranking],$U$1))</f>
        <v>56</v>
      </c>
      <c r="V551" s="2">
        <f>IF(SUMIFS(StandardName[RankValueInTheRanking],StandardName[StandardizedName],ARWU_Webometrics[[#This Row],[Nazwa uczelni]],StandardName[Ranking],$V$1)=0,$N$3,SUMIFS(StandardName[RankValueInTheRanking],StandardName[StandardizedName],ARWU_Webometrics[[#This Row],[Nazwa uczelni]],StandardName[Ranking],$V$1))</f>
        <v>98</v>
      </c>
      <c r="W551" s="2">
        <f>IF(SUMIFS(StandardName[RankValueInTheRanking],StandardName[StandardizedName],ARWU_Webometrics[[#This Row],[Nazwa uczelni]],StandardName[Ranking],$W$1)=0,$N$3,SUMIFS(StandardName[RankValueInTheRanking],StandardName[StandardizedName],ARWU_Webometrics[[#This Row],[Nazwa uczelni]],StandardName[Ranking],$W$1))</f>
        <v>29</v>
      </c>
      <c r="X551" s="2">
        <f>IF(SUMIFS(StandardName[RankValueInTheRanking],StandardName[StandardizedName],ARWU_Webometrics[[#This Row],[Nazwa uczelni]],StandardName[Ranking],$X$1)=0,$N$3,SUMIFS(StandardName[RankValueInTheRanking],StandardName[StandardizedName],ARWU_Webometrics[[#This Row],[Nazwa uczelni]],StandardName[Ranking],$X$1))</f>
        <v>96</v>
      </c>
      <c r="Y551" s="2">
        <f>SUM(ARWU_Webometrics[[#This Row],[THE_RV1000]:[Webometrics_RV1000]])</f>
        <v>279</v>
      </c>
      <c r="Z551" s="2">
        <v>56</v>
      </c>
      <c r="AA551" s="2">
        <v>98</v>
      </c>
      <c r="AB551" s="2">
        <v>29</v>
      </c>
      <c r="AC551" s="2">
        <v>96</v>
      </c>
    </row>
    <row r="552" spans="9:29" outlineLevel="1" x14ac:dyDescent="0.45">
      <c r="I552" s="2" t="s">
        <v>0</v>
      </c>
      <c r="O552" s="1" t="s">
        <v>332</v>
      </c>
      <c r="P552" s="1">
        <v>1</v>
      </c>
      <c r="Q552" s="1">
        <v>1</v>
      </c>
      <c r="R552" s="1">
        <v>1</v>
      </c>
      <c r="S552" s="1">
        <v>1</v>
      </c>
      <c r="T552" s="1">
        <v>4</v>
      </c>
      <c r="U552" s="2">
        <f>IF(SUMIFS(StandardName[RankValueInTheRanking],StandardName[StandardizedName],ARWU_Webometrics[[#This Row],[Nazwa uczelni]],StandardName[Ranking],$U$1)=0,$N$3,SUMIFS(StandardName[RankValueInTheRanking],StandardName[StandardizedName],ARWU_Webometrics[[#This Row],[Nazwa uczelni]],StandardName[Ranking],$U$1))</f>
        <v>61</v>
      </c>
      <c r="V552" s="2">
        <f>IF(SUMIFS(StandardName[RankValueInTheRanking],StandardName[StandardizedName],ARWU_Webometrics[[#This Row],[Nazwa uczelni]],StandardName[Ranking],$V$1)=0,$N$3,SUMIFS(StandardName[RankValueInTheRanking],StandardName[StandardizedName],ARWU_Webometrics[[#This Row],[Nazwa uczelni]],StandardName[Ranking],$V$1))</f>
        <v>99</v>
      </c>
      <c r="W552" s="2">
        <f>IF(SUMIFS(StandardName[RankValueInTheRanking],StandardName[StandardizedName],ARWU_Webometrics[[#This Row],[Nazwa uczelni]],StandardName[Ranking],$W$1)=0,$N$3,SUMIFS(StandardName[RankValueInTheRanking],StandardName[StandardizedName],ARWU_Webometrics[[#This Row],[Nazwa uczelni]],StandardName[Ranking],$W$1))</f>
        <v>63</v>
      </c>
      <c r="X552" s="2">
        <f>IF(SUMIFS(StandardName[RankValueInTheRanking],StandardName[StandardizedName],ARWU_Webometrics[[#This Row],[Nazwa uczelni]],StandardName[Ranking],$X$1)=0,$N$3,SUMIFS(StandardName[RankValueInTheRanking],StandardName[StandardizedName],ARWU_Webometrics[[#This Row],[Nazwa uczelni]],StandardName[Ranking],$X$1))</f>
        <v>80</v>
      </c>
      <c r="Y552" s="2">
        <f>SUM(ARWU_Webometrics[[#This Row],[THE_RV1000]:[Webometrics_RV1000]])</f>
        <v>303</v>
      </c>
      <c r="Z552" s="1">
        <v>61</v>
      </c>
      <c r="AA552" s="1">
        <v>99</v>
      </c>
      <c r="AB552" s="1">
        <v>63</v>
      </c>
      <c r="AC552" s="1">
        <v>80</v>
      </c>
    </row>
    <row r="553" spans="9:29" outlineLevel="1" x14ac:dyDescent="0.45">
      <c r="I553" s="2" t="s">
        <v>79</v>
      </c>
      <c r="O553" s="2" t="s">
        <v>425</v>
      </c>
      <c r="P553" s="2">
        <v>1</v>
      </c>
      <c r="Q553" s="2">
        <v>1</v>
      </c>
      <c r="R553" s="2">
        <v>1</v>
      </c>
      <c r="S553" s="2">
        <v>1</v>
      </c>
      <c r="T553" s="2">
        <v>4</v>
      </c>
      <c r="U553" s="2">
        <f>IF(SUMIFS(StandardName[RankValueInTheRanking],StandardName[StandardizedName],ARWU_Webometrics[[#This Row],[Nazwa uczelni]],StandardName[Ranking],$U$1)=0,$N$3,SUMIFS(StandardName[RankValueInTheRanking],StandardName[StandardizedName],ARWU_Webometrics[[#This Row],[Nazwa uczelni]],StandardName[Ranking],$U$1))</f>
        <v>82</v>
      </c>
      <c r="V553" s="2">
        <f>IF(SUMIFS(StandardName[RankValueInTheRanking],StandardName[StandardizedName],ARWU_Webometrics[[#This Row],[Nazwa uczelni]],StandardName[Ranking],$V$1)=0,$N$3,SUMIFS(StandardName[RankValueInTheRanking],StandardName[StandardizedName],ARWU_Webometrics[[#This Row],[Nazwa uczelni]],StandardName[Ranking],$V$1))</f>
        <v>59</v>
      </c>
      <c r="W553" s="2">
        <f>IF(SUMIFS(StandardName[RankValueInTheRanking],StandardName[StandardizedName],ARWU_Webometrics[[#This Row],[Nazwa uczelni]],StandardName[Ranking],$W$1)=0,$N$3,SUMIFS(StandardName[RankValueInTheRanking],StandardName[StandardizedName],ARWU_Webometrics[[#This Row],[Nazwa uczelni]],StandardName[Ranking],$W$1))</f>
        <v>83</v>
      </c>
      <c r="X553" s="2">
        <f>IF(SUMIFS(StandardName[RankValueInTheRanking],StandardName[StandardizedName],ARWU_Webometrics[[#This Row],[Nazwa uczelni]],StandardName[Ranking],$X$1)=0,$N$3,SUMIFS(StandardName[RankValueInTheRanking],StandardName[StandardizedName],ARWU_Webometrics[[#This Row],[Nazwa uczelni]],StandardName[Ranking],$X$1))</f>
        <v>92</v>
      </c>
      <c r="Y553" s="2">
        <f>SUM(ARWU_Webometrics[[#This Row],[THE_RV1000]:[Webometrics_RV1000]])</f>
        <v>316</v>
      </c>
      <c r="Z553" s="2">
        <v>82</v>
      </c>
      <c r="AA553" s="2">
        <v>59</v>
      </c>
      <c r="AB553" s="2">
        <v>83</v>
      </c>
      <c r="AC553" s="2">
        <v>92</v>
      </c>
    </row>
    <row r="554" spans="9:29" outlineLevel="1" x14ac:dyDescent="0.45">
      <c r="I554" s="2" t="s">
        <v>607</v>
      </c>
      <c r="O554" s="1" t="s">
        <v>385</v>
      </c>
      <c r="P554" s="1">
        <v>1</v>
      </c>
      <c r="Q554" s="1">
        <v>1</v>
      </c>
      <c r="R554" s="1">
        <v>1</v>
      </c>
      <c r="S554" s="1">
        <v>1</v>
      </c>
      <c r="T554" s="1">
        <v>4</v>
      </c>
      <c r="U554" s="2">
        <f>IF(SUMIFS(StandardName[RankValueInTheRanking],StandardName[StandardizedName],ARWU_Webometrics[[#This Row],[Nazwa uczelni]],StandardName[Ranking],$U$1)=0,$N$3,SUMIFS(StandardName[RankValueInTheRanking],StandardName[StandardizedName],ARWU_Webometrics[[#This Row],[Nazwa uczelni]],StandardName[Ranking],$U$1))</f>
        <v>74</v>
      </c>
      <c r="V554" s="2">
        <f>IF(SUMIFS(StandardName[RankValueInTheRanking],StandardName[StandardizedName],ARWU_Webometrics[[#This Row],[Nazwa uczelni]],StandardName[Ranking],$V$1)=0,$N$3,SUMIFS(StandardName[RankValueInTheRanking],StandardName[StandardizedName],ARWU_Webometrics[[#This Row],[Nazwa uczelni]],StandardName[Ranking],$V$1))</f>
        <v>62</v>
      </c>
      <c r="W554" s="2">
        <f>IF(SUMIFS(StandardName[RankValueInTheRanking],StandardName[StandardizedName],ARWU_Webometrics[[#This Row],[Nazwa uczelni]],StandardName[Ranking],$W$1)=0,$N$3,SUMIFS(StandardName[RankValueInTheRanking],StandardName[StandardizedName],ARWU_Webometrics[[#This Row],[Nazwa uczelni]],StandardName[Ranking],$W$1))</f>
        <v>94</v>
      </c>
      <c r="X554" s="2">
        <f>IF(SUMIFS(StandardName[RankValueInTheRanking],StandardName[StandardizedName],ARWU_Webometrics[[#This Row],[Nazwa uczelni]],StandardName[Ranking],$X$1)=0,$N$3,SUMIFS(StandardName[RankValueInTheRanking],StandardName[StandardizedName],ARWU_Webometrics[[#This Row],[Nazwa uczelni]],StandardName[Ranking],$X$1))</f>
        <v>95</v>
      </c>
      <c r="Y554" s="2">
        <f>SUM(ARWU_Webometrics[[#This Row],[THE_RV1000]:[Webometrics_RV1000]])</f>
        <v>325</v>
      </c>
      <c r="Z554" s="1">
        <v>74</v>
      </c>
      <c r="AA554" s="1">
        <v>62</v>
      </c>
      <c r="AB554" s="1">
        <v>94</v>
      </c>
      <c r="AC554" s="1">
        <v>95</v>
      </c>
    </row>
    <row r="555" spans="9:29" outlineLevel="1" x14ac:dyDescent="0.45">
      <c r="I555" s="1" t="s">
        <v>385</v>
      </c>
      <c r="O555" s="2" t="s">
        <v>313</v>
      </c>
      <c r="P555" s="2">
        <v>1</v>
      </c>
      <c r="Q555" s="2">
        <v>1</v>
      </c>
      <c r="R555" s="2">
        <v>0</v>
      </c>
      <c r="S555" s="2">
        <v>1</v>
      </c>
      <c r="T555" s="2">
        <v>3</v>
      </c>
      <c r="U555" s="2">
        <f>IF(SUMIFS(StandardName[RankValueInTheRanking],StandardName[StandardizedName],ARWU_Webometrics[[#This Row],[Nazwa uczelni]],StandardName[Ranking],$U$1)=0,$N$3,SUMIFS(StandardName[RankValueInTheRanking],StandardName[StandardizedName],ARWU_Webometrics[[#This Row],[Nazwa uczelni]],StandardName[Ranking],$U$1))</f>
        <v>57</v>
      </c>
      <c r="V555" s="2">
        <f>IF(SUMIFS(StandardName[RankValueInTheRanking],StandardName[StandardizedName],ARWU_Webometrics[[#This Row],[Nazwa uczelni]],StandardName[Ranking],$V$1)=0,$N$3,SUMIFS(StandardName[RankValueInTheRanking],StandardName[StandardizedName],ARWU_Webometrics[[#This Row],[Nazwa uczelni]],StandardName[Ranking],$V$1))</f>
        <v>27</v>
      </c>
      <c r="W555" s="2">
        <f>IF(SUMIFS(StandardName[RankValueInTheRanking],StandardName[StandardizedName],ARWU_Webometrics[[#This Row],[Nazwa uczelni]],StandardName[Ranking],$W$1)=0,$N$3,SUMIFS(StandardName[RankValueInTheRanking],StandardName[StandardizedName],ARWU_Webometrics[[#This Row],[Nazwa uczelni]],StandardName[Ranking],$W$1))</f>
        <v>250</v>
      </c>
      <c r="X555" s="2">
        <f>IF(SUMIFS(StandardName[RankValueInTheRanking],StandardName[StandardizedName],ARWU_Webometrics[[#This Row],[Nazwa uczelni]],StandardName[Ranking],$X$1)=0,$N$3,SUMIFS(StandardName[RankValueInTheRanking],StandardName[StandardizedName],ARWU_Webometrics[[#This Row],[Nazwa uczelni]],StandardName[Ranking],$X$1))</f>
        <v>42</v>
      </c>
      <c r="Y555" s="2">
        <f>SUM(ARWU_Webometrics[[#This Row],[THE_RV1000]:[Webometrics_RV1000]])</f>
        <v>376</v>
      </c>
      <c r="Z555" s="2">
        <v>57</v>
      </c>
      <c r="AA555" s="2">
        <v>27</v>
      </c>
      <c r="AB555" s="2">
        <v>0</v>
      </c>
      <c r="AC555" s="2">
        <v>42</v>
      </c>
    </row>
    <row r="556" spans="9:29" outlineLevel="1" x14ac:dyDescent="0.45">
      <c r="I556" s="1" t="s">
        <v>740</v>
      </c>
      <c r="O556" s="1" t="s">
        <v>366</v>
      </c>
      <c r="P556" s="1">
        <v>1</v>
      </c>
      <c r="Q556" s="1">
        <v>1</v>
      </c>
      <c r="R556" s="1">
        <v>0</v>
      </c>
      <c r="S556" s="1">
        <v>1</v>
      </c>
      <c r="T556" s="1">
        <v>3</v>
      </c>
      <c r="U556" s="2">
        <f>IF(SUMIFS(StandardName[RankValueInTheRanking],StandardName[StandardizedName],ARWU_Webometrics[[#This Row],[Nazwa uczelni]],StandardName[Ranking],$U$1)=0,$N$3,SUMIFS(StandardName[RankValueInTheRanking],StandardName[StandardizedName],ARWU_Webometrics[[#This Row],[Nazwa uczelni]],StandardName[Ranking],$U$1))</f>
        <v>69</v>
      </c>
      <c r="V556" s="2">
        <f>IF(SUMIFS(StandardName[RankValueInTheRanking],StandardName[StandardizedName],ARWU_Webometrics[[#This Row],[Nazwa uczelni]],StandardName[Ranking],$V$1)=0,$N$3,SUMIFS(StandardName[RankValueInTheRanking],StandardName[StandardizedName],ARWU_Webometrics[[#This Row],[Nazwa uczelni]],StandardName[Ranking],$V$1))</f>
        <v>29</v>
      </c>
      <c r="W556" s="2">
        <f>IF(SUMIFS(StandardName[RankValueInTheRanking],StandardName[StandardizedName],ARWU_Webometrics[[#This Row],[Nazwa uczelni]],StandardName[Ranking],$W$1)=0,$N$3,SUMIFS(StandardName[RankValueInTheRanking],StandardName[StandardizedName],ARWU_Webometrics[[#This Row],[Nazwa uczelni]],StandardName[Ranking],$W$1))</f>
        <v>250</v>
      </c>
      <c r="X556" s="2">
        <f>IF(SUMIFS(StandardName[RankValueInTheRanking],StandardName[StandardizedName],ARWU_Webometrics[[#This Row],[Nazwa uczelni]],StandardName[Ranking],$X$1)=0,$N$3,SUMIFS(StandardName[RankValueInTheRanking],StandardName[StandardizedName],ARWU_Webometrics[[#This Row],[Nazwa uczelni]],StandardName[Ranking],$X$1))</f>
        <v>28</v>
      </c>
      <c r="Y556" s="2">
        <f>SUM(ARWU_Webometrics[[#This Row],[THE_RV1000]:[Webometrics_RV1000]])</f>
        <v>376</v>
      </c>
      <c r="Z556" s="1">
        <v>69</v>
      </c>
      <c r="AA556" s="1">
        <v>29</v>
      </c>
      <c r="AB556" s="1">
        <v>0</v>
      </c>
      <c r="AC556" s="1">
        <v>28</v>
      </c>
    </row>
    <row r="557" spans="9:29" outlineLevel="1" x14ac:dyDescent="0.45">
      <c r="I557" s="2" t="s">
        <v>347</v>
      </c>
      <c r="O557" s="2" t="s">
        <v>347</v>
      </c>
      <c r="P557" s="2">
        <v>1</v>
      </c>
      <c r="Q557" s="2">
        <v>1</v>
      </c>
      <c r="R557" s="2">
        <v>0</v>
      </c>
      <c r="S557" s="2">
        <v>1</v>
      </c>
      <c r="T557" s="2">
        <v>3</v>
      </c>
      <c r="U557" s="2">
        <f>IF(SUMIFS(StandardName[RankValueInTheRanking],StandardName[StandardizedName],ARWU_Webometrics[[#This Row],[Nazwa uczelni]],StandardName[Ranking],$U$1)=0,$N$3,SUMIFS(StandardName[RankValueInTheRanking],StandardName[StandardizedName],ARWU_Webometrics[[#This Row],[Nazwa uczelni]],StandardName[Ranking],$U$1))</f>
        <v>65</v>
      </c>
      <c r="V557" s="2">
        <f>IF(SUMIFS(StandardName[RankValueInTheRanking],StandardName[StandardizedName],ARWU_Webometrics[[#This Row],[Nazwa uczelni]],StandardName[Ranking],$V$1)=0,$N$3,SUMIFS(StandardName[RankValueInTheRanking],StandardName[StandardizedName],ARWU_Webometrics[[#This Row],[Nazwa uczelni]],StandardName[Ranking],$V$1))</f>
        <v>53</v>
      </c>
      <c r="W557" s="2">
        <f>IF(SUMIFS(StandardName[RankValueInTheRanking],StandardName[StandardizedName],ARWU_Webometrics[[#This Row],[Nazwa uczelni]],StandardName[Ranking],$W$1)=0,$N$3,SUMIFS(StandardName[RankValueInTheRanking],StandardName[StandardizedName],ARWU_Webometrics[[#This Row],[Nazwa uczelni]],StandardName[Ranking],$W$1))</f>
        <v>250</v>
      </c>
      <c r="X557" s="2">
        <f>IF(SUMIFS(StandardName[RankValueInTheRanking],StandardName[StandardizedName],ARWU_Webometrics[[#This Row],[Nazwa uczelni]],StandardName[Ranking],$X$1)=0,$N$3,SUMIFS(StandardName[RankValueInTheRanking],StandardName[StandardizedName],ARWU_Webometrics[[#This Row],[Nazwa uczelni]],StandardName[Ranking],$X$1))</f>
        <v>31</v>
      </c>
      <c r="Y557" s="2">
        <f>SUM(ARWU_Webometrics[[#This Row],[THE_RV1000]:[Webometrics_RV1000]])</f>
        <v>399</v>
      </c>
      <c r="Z557" s="2">
        <v>65</v>
      </c>
      <c r="AA557" s="2">
        <v>53</v>
      </c>
      <c r="AB557" s="2">
        <v>0</v>
      </c>
      <c r="AC557" s="2">
        <v>31</v>
      </c>
    </row>
    <row r="558" spans="9:29" outlineLevel="1" x14ac:dyDescent="0.45">
      <c r="I558" s="1" t="s">
        <v>776</v>
      </c>
      <c r="O558" s="1" t="s">
        <v>352</v>
      </c>
      <c r="P558" s="1">
        <v>1</v>
      </c>
      <c r="Q558" s="1">
        <v>1</v>
      </c>
      <c r="R558" s="1">
        <v>0</v>
      </c>
      <c r="S558" s="1">
        <v>1</v>
      </c>
      <c r="T558" s="1">
        <v>3</v>
      </c>
      <c r="U558" s="2">
        <f>IF(SUMIFS(StandardName[RankValueInTheRanking],StandardName[StandardizedName],ARWU_Webometrics[[#This Row],[Nazwa uczelni]],StandardName[Ranking],$U$1)=0,$N$3,SUMIFS(StandardName[RankValueInTheRanking],StandardName[StandardizedName],ARWU_Webometrics[[#This Row],[Nazwa uczelni]],StandardName[Ranking],$U$1))</f>
        <v>66</v>
      </c>
      <c r="V558" s="2">
        <f>IF(SUMIFS(StandardName[RankValueInTheRanking],StandardName[StandardizedName],ARWU_Webometrics[[#This Row],[Nazwa uczelni]],StandardName[Ranking],$V$1)=0,$N$3,SUMIFS(StandardName[RankValueInTheRanking],StandardName[StandardizedName],ARWU_Webometrics[[#This Row],[Nazwa uczelni]],StandardName[Ranking],$V$1))</f>
        <v>54</v>
      </c>
      <c r="W558" s="2">
        <f>IF(SUMIFS(StandardName[RankValueInTheRanking],StandardName[StandardizedName],ARWU_Webometrics[[#This Row],[Nazwa uczelni]],StandardName[Ranking],$W$1)=0,$N$3,SUMIFS(StandardName[RankValueInTheRanking],StandardName[StandardizedName],ARWU_Webometrics[[#This Row],[Nazwa uczelni]],StandardName[Ranking],$W$1))</f>
        <v>250</v>
      </c>
      <c r="X558" s="2">
        <f>IF(SUMIFS(StandardName[RankValueInTheRanking],StandardName[StandardizedName],ARWU_Webometrics[[#This Row],[Nazwa uczelni]],StandardName[Ranking],$X$1)=0,$N$3,SUMIFS(StandardName[RankValueInTheRanking],StandardName[StandardizedName],ARWU_Webometrics[[#This Row],[Nazwa uczelni]],StandardName[Ranking],$X$1))</f>
        <v>65</v>
      </c>
      <c r="Y558" s="2">
        <f>SUM(ARWU_Webometrics[[#This Row],[THE_RV1000]:[Webometrics_RV1000]])</f>
        <v>435</v>
      </c>
      <c r="Z558" s="1">
        <v>66</v>
      </c>
      <c r="AA558" s="1">
        <v>54</v>
      </c>
      <c r="AB558" s="1">
        <v>0</v>
      </c>
      <c r="AC558" s="1">
        <v>65</v>
      </c>
    </row>
    <row r="559" spans="9:29" outlineLevel="1" x14ac:dyDescent="0.45">
      <c r="I559" s="2" t="s">
        <v>102</v>
      </c>
      <c r="O559" s="2" t="s">
        <v>808</v>
      </c>
      <c r="P559" s="2">
        <v>1</v>
      </c>
      <c r="Q559" s="2">
        <v>1</v>
      </c>
      <c r="R559" s="2">
        <v>0</v>
      </c>
      <c r="S559" s="2">
        <v>1</v>
      </c>
      <c r="T559" s="2">
        <v>3</v>
      </c>
      <c r="U559" s="2">
        <f>IF(SUMIFS(StandardName[RankValueInTheRanking],StandardName[StandardizedName],ARWU_Webometrics[[#This Row],[Nazwa uczelni]],StandardName[Ranking],$U$1)=0,$N$3,SUMIFS(StandardName[RankValueInTheRanking],StandardName[StandardizedName],ARWU_Webometrics[[#This Row],[Nazwa uczelni]],StandardName[Ranking],$U$1))</f>
        <v>95</v>
      </c>
      <c r="V559" s="2">
        <f>IF(SUMIFS(StandardName[RankValueInTheRanking],StandardName[StandardizedName],ARWU_Webometrics[[#This Row],[Nazwa uczelni]],StandardName[Ranking],$V$1)=0,$N$3,SUMIFS(StandardName[RankValueInTheRanking],StandardName[StandardizedName],ARWU_Webometrics[[#This Row],[Nazwa uczelni]],StandardName[Ranking],$V$1))</f>
        <v>61</v>
      </c>
      <c r="W559" s="2">
        <f>IF(SUMIFS(StandardName[RankValueInTheRanking],StandardName[StandardizedName],ARWU_Webometrics[[#This Row],[Nazwa uczelni]],StandardName[Ranking],$W$1)=0,$N$3,SUMIFS(StandardName[RankValueInTheRanking],StandardName[StandardizedName],ARWU_Webometrics[[#This Row],[Nazwa uczelni]],StandardName[Ranking],$W$1))</f>
        <v>250</v>
      </c>
      <c r="X559" s="2">
        <f>IF(SUMIFS(StandardName[RankValueInTheRanking],StandardName[StandardizedName],ARWU_Webometrics[[#This Row],[Nazwa uczelni]],StandardName[Ranking],$X$1)=0,$N$3,SUMIFS(StandardName[RankValueInTheRanking],StandardName[StandardizedName],ARWU_Webometrics[[#This Row],[Nazwa uczelni]],StandardName[Ranking],$X$1))</f>
        <v>38</v>
      </c>
      <c r="Y559" s="2">
        <f>SUM(ARWU_Webometrics[[#This Row],[THE_RV1000]:[Webometrics_RV1000]])</f>
        <v>444</v>
      </c>
      <c r="Z559" s="2">
        <v>95</v>
      </c>
      <c r="AA559" s="2">
        <v>61</v>
      </c>
      <c r="AB559" s="2">
        <v>0</v>
      </c>
      <c r="AC559" s="2">
        <v>38</v>
      </c>
    </row>
    <row r="560" spans="9:29" outlineLevel="1" x14ac:dyDescent="0.45">
      <c r="I560" s="2" t="s">
        <v>438</v>
      </c>
      <c r="O560" s="1" t="s">
        <v>545</v>
      </c>
      <c r="P560" s="1">
        <v>0</v>
      </c>
      <c r="Q560" s="1">
        <v>1</v>
      </c>
      <c r="R560" s="1">
        <v>1</v>
      </c>
      <c r="S560" s="1">
        <v>1</v>
      </c>
      <c r="T560" s="1">
        <v>3</v>
      </c>
      <c r="U560" s="2">
        <f>IF(SUMIFS(StandardName[RankValueInTheRanking],StandardName[StandardizedName],ARWU_Webometrics[[#This Row],[Nazwa uczelni]],StandardName[Ranking],$U$1)=0,$N$3,SUMIFS(StandardName[RankValueInTheRanking],StandardName[StandardizedName],ARWU_Webometrics[[#This Row],[Nazwa uczelni]],StandardName[Ranking],$U$1))</f>
        <v>250</v>
      </c>
      <c r="V560" s="2">
        <f>IF(SUMIFS(StandardName[RankValueInTheRanking],StandardName[StandardizedName],ARWU_Webometrics[[#This Row],[Nazwa uczelni]],StandardName[Ranking],$V$1)=0,$N$3,SUMIFS(StandardName[RankValueInTheRanking],StandardName[StandardizedName],ARWU_Webometrics[[#This Row],[Nazwa uczelni]],StandardName[Ranking],$V$1))</f>
        <v>39</v>
      </c>
      <c r="W560" s="2">
        <f>IF(SUMIFS(StandardName[RankValueInTheRanking],StandardName[StandardizedName],ARWU_Webometrics[[#This Row],[Nazwa uczelni]],StandardName[Ranking],$W$1)=0,$N$3,SUMIFS(StandardName[RankValueInTheRanking],StandardName[StandardizedName],ARWU_Webometrics[[#This Row],[Nazwa uczelni]],StandardName[Ranking],$W$1))</f>
        <v>82</v>
      </c>
      <c r="X560" s="2">
        <f>IF(SUMIFS(StandardName[RankValueInTheRanking],StandardName[StandardizedName],ARWU_Webometrics[[#This Row],[Nazwa uczelni]],StandardName[Ranking],$X$1)=0,$N$3,SUMIFS(StandardName[RankValueInTheRanking],StandardName[StandardizedName],ARWU_Webometrics[[#This Row],[Nazwa uczelni]],StandardName[Ranking],$X$1))</f>
        <v>74</v>
      </c>
      <c r="Y560" s="2">
        <f>SUM(ARWU_Webometrics[[#This Row],[THE_RV1000]:[Webometrics_RV1000]])</f>
        <v>445</v>
      </c>
      <c r="Z560" s="1">
        <v>0</v>
      </c>
      <c r="AA560" s="1">
        <v>39</v>
      </c>
      <c r="AB560" s="1">
        <v>82</v>
      </c>
      <c r="AC560" s="1">
        <v>74</v>
      </c>
    </row>
    <row r="561" spans="9:29" outlineLevel="1" x14ac:dyDescent="0.45">
      <c r="I561" s="1" t="s">
        <v>820</v>
      </c>
      <c r="O561" s="2" t="s">
        <v>829</v>
      </c>
      <c r="P561" s="2">
        <v>1</v>
      </c>
      <c r="Q561" s="2">
        <v>1</v>
      </c>
      <c r="R561" s="2">
        <v>0</v>
      </c>
      <c r="S561" s="2">
        <v>1</v>
      </c>
      <c r="T561" s="2">
        <v>3</v>
      </c>
      <c r="U561" s="2">
        <f>IF(SUMIFS(StandardName[RankValueInTheRanking],StandardName[StandardizedName],ARWU_Webometrics[[#This Row],[Nazwa uczelni]],StandardName[Ranking],$U$1)=0,$N$3,SUMIFS(StandardName[RankValueInTheRanking],StandardName[StandardizedName],ARWU_Webometrics[[#This Row],[Nazwa uczelni]],StandardName[Ranking],$U$1))</f>
        <v>64</v>
      </c>
      <c r="V561" s="2">
        <f>IF(SUMIFS(StandardName[RankValueInTheRanking],StandardName[StandardizedName],ARWU_Webometrics[[#This Row],[Nazwa uczelni]],StandardName[Ranking],$V$1)=0,$N$3,SUMIFS(StandardName[RankValueInTheRanking],StandardName[StandardizedName],ARWU_Webometrics[[#This Row],[Nazwa uczelni]],StandardName[Ranking],$V$1))</f>
        <v>57</v>
      </c>
      <c r="W561" s="2">
        <f>IF(SUMIFS(StandardName[RankValueInTheRanking],StandardName[StandardizedName],ARWU_Webometrics[[#This Row],[Nazwa uczelni]],StandardName[Ranking],$W$1)=0,$N$3,SUMIFS(StandardName[RankValueInTheRanking],StandardName[StandardizedName],ARWU_Webometrics[[#This Row],[Nazwa uczelni]],StandardName[Ranking],$W$1))</f>
        <v>250</v>
      </c>
      <c r="X561" s="2">
        <f>IF(SUMIFS(StandardName[RankValueInTheRanking],StandardName[StandardizedName],ARWU_Webometrics[[#This Row],[Nazwa uczelni]],StandardName[Ranking],$X$1)=0,$N$3,SUMIFS(StandardName[RankValueInTheRanking],StandardName[StandardizedName],ARWU_Webometrics[[#This Row],[Nazwa uczelni]],StandardName[Ranking],$X$1))</f>
        <v>76</v>
      </c>
      <c r="Y561" s="2">
        <f>SUM(ARWU_Webometrics[[#This Row],[THE_RV1000]:[Webometrics_RV1000]])</f>
        <v>447</v>
      </c>
      <c r="Z561" s="2">
        <v>64</v>
      </c>
      <c r="AA561" s="2">
        <v>57</v>
      </c>
      <c r="AB561" s="2">
        <v>0</v>
      </c>
      <c r="AC561" s="2">
        <v>76</v>
      </c>
    </row>
    <row r="562" spans="9:29" outlineLevel="1" x14ac:dyDescent="0.45">
      <c r="I562" s="2" t="s">
        <v>821</v>
      </c>
      <c r="O562" s="1" t="s">
        <v>471</v>
      </c>
      <c r="P562" s="1">
        <v>1</v>
      </c>
      <c r="Q562" s="1">
        <v>1</v>
      </c>
      <c r="R562" s="1">
        <v>0</v>
      </c>
      <c r="S562" s="1">
        <v>1</v>
      </c>
      <c r="T562" s="1">
        <v>3</v>
      </c>
      <c r="U562" s="2">
        <f>IF(SUMIFS(StandardName[RankValueInTheRanking],StandardName[StandardizedName],ARWU_Webometrics[[#This Row],[Nazwa uczelni]],StandardName[Ranking],$U$1)=0,$N$3,SUMIFS(StandardName[RankValueInTheRanking],StandardName[StandardizedName],ARWU_Webometrics[[#This Row],[Nazwa uczelni]],StandardName[Ranking],$U$1))</f>
        <v>98</v>
      </c>
      <c r="V562" s="2">
        <f>IF(SUMIFS(StandardName[RankValueInTheRanking],StandardName[StandardizedName],ARWU_Webometrics[[#This Row],[Nazwa uczelni]],StandardName[Ranking],$V$1)=0,$N$3,SUMIFS(StandardName[RankValueInTheRanking],StandardName[StandardizedName],ARWU_Webometrics[[#This Row],[Nazwa uczelni]],StandardName[Ranking],$V$1))</f>
        <v>64</v>
      </c>
      <c r="W562" s="2">
        <f>IF(SUMIFS(StandardName[RankValueInTheRanking],StandardName[StandardizedName],ARWU_Webometrics[[#This Row],[Nazwa uczelni]],StandardName[Ranking],$W$1)=0,$N$3,SUMIFS(StandardName[RankValueInTheRanking],StandardName[StandardizedName],ARWU_Webometrics[[#This Row],[Nazwa uczelni]],StandardName[Ranking],$W$1))</f>
        <v>250</v>
      </c>
      <c r="X562" s="2">
        <f>IF(SUMIFS(StandardName[RankValueInTheRanking],StandardName[StandardizedName],ARWU_Webometrics[[#This Row],[Nazwa uczelni]],StandardName[Ranking],$X$1)=0,$N$3,SUMIFS(StandardName[RankValueInTheRanking],StandardName[StandardizedName],ARWU_Webometrics[[#This Row],[Nazwa uczelni]],StandardName[Ranking],$X$1))</f>
        <v>58</v>
      </c>
      <c r="Y562" s="2">
        <f>SUM(ARWU_Webometrics[[#This Row],[THE_RV1000]:[Webometrics_RV1000]])</f>
        <v>470</v>
      </c>
      <c r="Z562" s="1">
        <v>98</v>
      </c>
      <c r="AA562" s="1">
        <v>64</v>
      </c>
      <c r="AB562" s="1">
        <v>0</v>
      </c>
      <c r="AC562" s="1">
        <v>58</v>
      </c>
    </row>
    <row r="563" spans="9:29" outlineLevel="1" x14ac:dyDescent="0.45">
      <c r="I563" s="1" t="s">
        <v>157</v>
      </c>
      <c r="O563" s="2" t="s">
        <v>388</v>
      </c>
      <c r="P563" s="2">
        <v>1</v>
      </c>
      <c r="Q563" s="2">
        <v>1</v>
      </c>
      <c r="R563" s="2">
        <v>0</v>
      </c>
      <c r="S563" s="2">
        <v>1</v>
      </c>
      <c r="T563" s="2">
        <v>3</v>
      </c>
      <c r="U563" s="2">
        <f>IF(SUMIFS(StandardName[RankValueInTheRanking],StandardName[StandardizedName],ARWU_Webometrics[[#This Row],[Nazwa uczelni]],StandardName[Ranking],$U$1)=0,$N$3,SUMIFS(StandardName[RankValueInTheRanking],StandardName[StandardizedName],ARWU_Webometrics[[#This Row],[Nazwa uczelni]],StandardName[Ranking],$U$1))</f>
        <v>75</v>
      </c>
      <c r="V563" s="2">
        <f>IF(SUMIFS(StandardName[RankValueInTheRanking],StandardName[StandardizedName],ARWU_Webometrics[[#This Row],[Nazwa uczelni]],StandardName[Ranking],$V$1)=0,$N$3,SUMIFS(StandardName[RankValueInTheRanking],StandardName[StandardizedName],ARWU_Webometrics[[#This Row],[Nazwa uczelni]],StandardName[Ranking],$V$1))</f>
        <v>66</v>
      </c>
      <c r="W563" s="2">
        <f>IF(SUMIFS(StandardName[RankValueInTheRanking],StandardName[StandardizedName],ARWU_Webometrics[[#This Row],[Nazwa uczelni]],StandardName[Ranking],$W$1)=0,$N$3,SUMIFS(StandardName[RankValueInTheRanking],StandardName[StandardizedName],ARWU_Webometrics[[#This Row],[Nazwa uczelni]],StandardName[Ranking],$W$1))</f>
        <v>250</v>
      </c>
      <c r="X563" s="2">
        <f>IF(SUMIFS(StandardName[RankValueInTheRanking],StandardName[StandardizedName],ARWU_Webometrics[[#This Row],[Nazwa uczelni]],StandardName[Ranking],$X$1)=0,$N$3,SUMIFS(StandardName[RankValueInTheRanking],StandardName[StandardizedName],ARWU_Webometrics[[#This Row],[Nazwa uczelni]],StandardName[Ranking],$X$1))</f>
        <v>84</v>
      </c>
      <c r="Y563" s="2">
        <f>SUM(ARWU_Webometrics[[#This Row],[THE_RV1000]:[Webometrics_RV1000]])</f>
        <v>475</v>
      </c>
      <c r="Z563" s="2">
        <v>75</v>
      </c>
      <c r="AA563" s="2">
        <v>66</v>
      </c>
      <c r="AB563" s="2">
        <v>0</v>
      </c>
      <c r="AC563" s="2">
        <v>84</v>
      </c>
    </row>
    <row r="564" spans="9:29" outlineLevel="1" x14ac:dyDescent="0.45">
      <c r="I564" s="1" t="s">
        <v>835</v>
      </c>
      <c r="O564" s="1" t="s">
        <v>809</v>
      </c>
      <c r="P564" s="1">
        <v>0</v>
      </c>
      <c r="Q564" s="1">
        <v>1</v>
      </c>
      <c r="R564" s="1">
        <v>0</v>
      </c>
      <c r="S564" s="1">
        <v>1</v>
      </c>
      <c r="T564" s="1">
        <v>2</v>
      </c>
      <c r="U564" s="2">
        <f>IF(SUMIFS(StandardName[RankValueInTheRanking],StandardName[StandardizedName],ARWU_Webometrics[[#This Row],[Nazwa uczelni]],StandardName[Ranking],$U$1)=0,$N$3,SUMIFS(StandardName[RankValueInTheRanking],StandardName[StandardizedName],ARWU_Webometrics[[#This Row],[Nazwa uczelni]],StandardName[Ranking],$U$1))</f>
        <v>250</v>
      </c>
      <c r="V564" s="2">
        <f>IF(SUMIFS(StandardName[RankValueInTheRanking],StandardName[StandardizedName],ARWU_Webometrics[[#This Row],[Nazwa uczelni]],StandardName[Ranking],$V$1)=0,$N$3,SUMIFS(StandardName[RankValueInTheRanking],StandardName[StandardizedName],ARWU_Webometrics[[#This Row],[Nazwa uczelni]],StandardName[Ranking],$V$1))</f>
        <v>19</v>
      </c>
      <c r="W564" s="2">
        <f>IF(SUMIFS(StandardName[RankValueInTheRanking],StandardName[StandardizedName],ARWU_Webometrics[[#This Row],[Nazwa uczelni]],StandardName[Ranking],$W$1)=0,$N$3,SUMIFS(StandardName[RankValueInTheRanking],StandardName[StandardizedName],ARWU_Webometrics[[#This Row],[Nazwa uczelni]],StandardName[Ranking],$W$1))</f>
        <v>250</v>
      </c>
      <c r="X564" s="2">
        <f>IF(SUMIFS(StandardName[RankValueInTheRanking],StandardName[StandardizedName],ARWU_Webometrics[[#This Row],[Nazwa uczelni]],StandardName[Ranking],$X$1)=0,$N$3,SUMIFS(StandardName[RankValueInTheRanking],StandardName[StandardizedName],ARWU_Webometrics[[#This Row],[Nazwa uczelni]],StandardName[Ranking],$X$1))</f>
        <v>39</v>
      </c>
      <c r="Y564" s="2">
        <f>SUM(ARWU_Webometrics[[#This Row],[THE_RV1000]:[Webometrics_RV1000]])</f>
        <v>558</v>
      </c>
      <c r="Z564" s="1">
        <v>0</v>
      </c>
      <c r="AA564" s="1">
        <v>19</v>
      </c>
      <c r="AB564" s="1">
        <v>0</v>
      </c>
      <c r="AC564" s="1">
        <v>39</v>
      </c>
    </row>
    <row r="565" spans="9:29" outlineLevel="1" x14ac:dyDescent="0.45">
      <c r="I565" s="2" t="s">
        <v>412</v>
      </c>
      <c r="O565" s="2" t="s">
        <v>556</v>
      </c>
      <c r="P565" s="2">
        <v>0</v>
      </c>
      <c r="Q565" s="2">
        <v>1</v>
      </c>
      <c r="R565" s="2">
        <v>0</v>
      </c>
      <c r="S565" s="2">
        <v>1</v>
      </c>
      <c r="T565" s="2">
        <v>2</v>
      </c>
      <c r="U565" s="2">
        <f>IF(SUMIFS(StandardName[RankValueInTheRanking],StandardName[StandardizedName],ARWU_Webometrics[[#This Row],[Nazwa uczelni]],StandardName[Ranking],$U$1)=0,$N$3,SUMIFS(StandardName[RankValueInTheRanking],StandardName[StandardizedName],ARWU_Webometrics[[#This Row],[Nazwa uczelni]],StandardName[Ranking],$U$1))</f>
        <v>250</v>
      </c>
      <c r="V565" s="2">
        <f>IF(SUMIFS(StandardName[RankValueInTheRanking],StandardName[StandardizedName],ARWU_Webometrics[[#This Row],[Nazwa uczelni]],StandardName[Ranking],$V$1)=0,$N$3,SUMIFS(StandardName[RankValueInTheRanking],StandardName[StandardizedName],ARWU_Webometrics[[#This Row],[Nazwa uczelni]],StandardName[Ranking],$V$1))</f>
        <v>44</v>
      </c>
      <c r="W565" s="2">
        <f>IF(SUMIFS(StandardName[RankValueInTheRanking],StandardName[StandardizedName],ARWU_Webometrics[[#This Row],[Nazwa uczelni]],StandardName[Ranking],$W$1)=0,$N$3,SUMIFS(StandardName[RankValueInTheRanking],StandardName[StandardizedName],ARWU_Webometrics[[#This Row],[Nazwa uczelni]],StandardName[Ranking],$W$1))</f>
        <v>250</v>
      </c>
      <c r="X565" s="2">
        <f>IF(SUMIFS(StandardName[RankValueInTheRanking],StandardName[StandardizedName],ARWU_Webometrics[[#This Row],[Nazwa uczelni]],StandardName[Ranking],$X$1)=0,$N$3,SUMIFS(StandardName[RankValueInTheRanking],StandardName[StandardizedName],ARWU_Webometrics[[#This Row],[Nazwa uczelni]],StandardName[Ranking],$X$1))</f>
        <v>18</v>
      </c>
      <c r="Y565" s="2">
        <f>SUM(ARWU_Webometrics[[#This Row],[THE_RV1000]:[Webometrics_RV1000]])</f>
        <v>562</v>
      </c>
      <c r="Z565" s="2">
        <v>0</v>
      </c>
      <c r="AA565" s="2">
        <v>44</v>
      </c>
      <c r="AB565" s="2">
        <v>0</v>
      </c>
      <c r="AC565" s="2">
        <v>18</v>
      </c>
    </row>
    <row r="566" spans="9:29" outlineLevel="1" x14ac:dyDescent="0.45">
      <c r="I566" s="2" t="s">
        <v>615</v>
      </c>
      <c r="O566" s="1" t="s">
        <v>607</v>
      </c>
      <c r="P566" s="1">
        <v>0</v>
      </c>
      <c r="Q566" s="1">
        <v>1</v>
      </c>
      <c r="R566" s="1">
        <v>0</v>
      </c>
      <c r="S566" s="1">
        <v>1</v>
      </c>
      <c r="T566" s="1">
        <v>2</v>
      </c>
      <c r="U566" s="2">
        <f>IF(SUMIFS(StandardName[RankValueInTheRanking],StandardName[StandardizedName],ARWU_Webometrics[[#This Row],[Nazwa uczelni]],StandardName[Ranking],$U$1)=0,$N$3,SUMIFS(StandardName[RankValueInTheRanking],StandardName[StandardizedName],ARWU_Webometrics[[#This Row],[Nazwa uczelni]],StandardName[Ranking],$U$1))</f>
        <v>250</v>
      </c>
      <c r="V566" s="2">
        <f>IF(SUMIFS(StandardName[RankValueInTheRanking],StandardName[StandardizedName],ARWU_Webometrics[[#This Row],[Nazwa uczelni]],StandardName[Ranking],$V$1)=0,$N$3,SUMIFS(StandardName[RankValueInTheRanking],StandardName[StandardizedName],ARWU_Webometrics[[#This Row],[Nazwa uczelni]],StandardName[Ranking],$V$1))</f>
        <v>82</v>
      </c>
      <c r="W566" s="2">
        <f>IF(SUMIFS(StandardName[RankValueInTheRanking],StandardName[StandardizedName],ARWU_Webometrics[[#This Row],[Nazwa uczelni]],StandardName[Ranking],$W$1)=0,$N$3,SUMIFS(StandardName[RankValueInTheRanking],StandardName[StandardizedName],ARWU_Webometrics[[#This Row],[Nazwa uczelni]],StandardName[Ranking],$W$1))</f>
        <v>250</v>
      </c>
      <c r="X566" s="2">
        <f>IF(SUMIFS(StandardName[RankValueInTheRanking],StandardName[StandardizedName],ARWU_Webometrics[[#This Row],[Nazwa uczelni]],StandardName[Ranking],$X$1)=0,$N$3,SUMIFS(StandardName[RankValueInTheRanking],StandardName[StandardizedName],ARWU_Webometrics[[#This Row],[Nazwa uczelni]],StandardName[Ranking],$X$1))</f>
        <v>46</v>
      </c>
      <c r="Y566" s="2">
        <f>SUM(ARWU_Webometrics[[#This Row],[THE_RV1000]:[Webometrics_RV1000]])</f>
        <v>628</v>
      </c>
      <c r="Z566" s="1">
        <v>0</v>
      </c>
      <c r="AA566" s="1">
        <v>82</v>
      </c>
      <c r="AB566" s="1">
        <v>0</v>
      </c>
      <c r="AC566" s="1">
        <v>46</v>
      </c>
    </row>
    <row r="567" spans="9:29" outlineLevel="1" x14ac:dyDescent="0.45">
      <c r="I567" s="1" t="s">
        <v>352</v>
      </c>
      <c r="O567" s="2" t="s">
        <v>813</v>
      </c>
      <c r="P567" s="2">
        <v>0</v>
      </c>
      <c r="Q567" s="2">
        <v>1</v>
      </c>
      <c r="R567" s="2">
        <v>0</v>
      </c>
      <c r="S567" s="2">
        <v>1</v>
      </c>
      <c r="T567" s="2">
        <v>2</v>
      </c>
      <c r="U567" s="2">
        <f>IF(SUMIFS(StandardName[RankValueInTheRanking],StandardName[StandardizedName],ARWU_Webometrics[[#This Row],[Nazwa uczelni]],StandardName[Ranking],$U$1)=0,$N$3,SUMIFS(StandardName[RankValueInTheRanking],StandardName[StandardizedName],ARWU_Webometrics[[#This Row],[Nazwa uczelni]],StandardName[Ranking],$U$1))</f>
        <v>250</v>
      </c>
      <c r="V567" s="2">
        <f>IF(SUMIFS(StandardName[RankValueInTheRanking],StandardName[StandardizedName],ARWU_Webometrics[[#This Row],[Nazwa uczelni]],StandardName[Ranking],$V$1)=0,$N$3,SUMIFS(StandardName[RankValueInTheRanking],StandardName[StandardizedName],ARWU_Webometrics[[#This Row],[Nazwa uczelni]],StandardName[Ranking],$V$1))</f>
        <v>83</v>
      </c>
      <c r="W567" s="2">
        <f>IF(SUMIFS(StandardName[RankValueInTheRanking],StandardName[StandardizedName],ARWU_Webometrics[[#This Row],[Nazwa uczelni]],StandardName[Ranking],$W$1)=0,$N$3,SUMIFS(StandardName[RankValueInTheRanking],StandardName[StandardizedName],ARWU_Webometrics[[#This Row],[Nazwa uczelni]],StandardName[Ranking],$W$1))</f>
        <v>250</v>
      </c>
      <c r="X567" s="2">
        <f>IF(SUMIFS(StandardName[RankValueInTheRanking],StandardName[StandardizedName],ARWU_Webometrics[[#This Row],[Nazwa uczelni]],StandardName[Ranking],$X$1)=0,$N$3,SUMIFS(StandardName[RankValueInTheRanking],StandardName[StandardizedName],ARWU_Webometrics[[#This Row],[Nazwa uczelni]],StandardName[Ranking],$X$1))</f>
        <v>45</v>
      </c>
      <c r="Y567" s="2">
        <f>SUM(ARWU_Webometrics[[#This Row],[THE_RV1000]:[Webometrics_RV1000]])</f>
        <v>628</v>
      </c>
      <c r="Z567" s="2">
        <v>0</v>
      </c>
      <c r="AA567" s="2">
        <v>83</v>
      </c>
      <c r="AB567" s="2">
        <v>0</v>
      </c>
      <c r="AC567" s="2">
        <v>45</v>
      </c>
    </row>
    <row r="568" spans="9:29" outlineLevel="1" x14ac:dyDescent="0.45">
      <c r="I568" s="2" t="s">
        <v>471</v>
      </c>
      <c r="O568" s="1" t="s">
        <v>619</v>
      </c>
      <c r="P568" s="1">
        <v>0</v>
      </c>
      <c r="Q568" s="1">
        <v>1</v>
      </c>
      <c r="R568" s="1">
        <v>0</v>
      </c>
      <c r="S568" s="1">
        <v>1</v>
      </c>
      <c r="T568" s="1">
        <v>2</v>
      </c>
      <c r="U568" s="2">
        <f>IF(SUMIFS(StandardName[RankValueInTheRanking],StandardName[StandardizedName],ARWU_Webometrics[[#This Row],[Nazwa uczelni]],StandardName[Ranking],$U$1)=0,$N$3,SUMIFS(StandardName[RankValueInTheRanking],StandardName[StandardizedName],ARWU_Webometrics[[#This Row],[Nazwa uczelni]],StandardName[Ranking],$U$1))</f>
        <v>250</v>
      </c>
      <c r="V568" s="2">
        <f>IF(SUMIFS(StandardName[RankValueInTheRanking],StandardName[StandardizedName],ARWU_Webometrics[[#This Row],[Nazwa uczelni]],StandardName[Ranking],$V$1)=0,$N$3,SUMIFS(StandardName[RankValueInTheRanking],StandardName[StandardizedName],ARWU_Webometrics[[#This Row],[Nazwa uczelni]],StandardName[Ranking],$V$1))</f>
        <v>94</v>
      </c>
      <c r="W568" s="2">
        <f>IF(SUMIFS(StandardName[RankValueInTheRanking],StandardName[StandardizedName],ARWU_Webometrics[[#This Row],[Nazwa uczelni]],StandardName[Ranking],$W$1)=0,$N$3,SUMIFS(StandardName[RankValueInTheRanking],StandardName[StandardizedName],ARWU_Webometrics[[#This Row],[Nazwa uczelni]],StandardName[Ranking],$W$1))</f>
        <v>250</v>
      </c>
      <c r="X568" s="2">
        <f>IF(SUMIFS(StandardName[RankValueInTheRanking],StandardName[StandardizedName],ARWU_Webometrics[[#This Row],[Nazwa uczelni]],StandardName[Ranking],$X$1)=0,$N$3,SUMIFS(StandardName[RankValueInTheRanking],StandardName[StandardizedName],ARWU_Webometrics[[#This Row],[Nazwa uczelni]],StandardName[Ranking],$X$1))</f>
        <v>34</v>
      </c>
      <c r="Y568" s="2">
        <f>SUM(ARWU_Webometrics[[#This Row],[THE_RV1000]:[Webometrics_RV1000]])</f>
        <v>628</v>
      </c>
      <c r="Z568" s="1">
        <v>0</v>
      </c>
      <c r="AA568" s="1">
        <v>94</v>
      </c>
      <c r="AB568" s="1">
        <v>0</v>
      </c>
      <c r="AC568" s="1">
        <v>34</v>
      </c>
    </row>
    <row r="569" spans="9:29" outlineLevel="1" x14ac:dyDescent="0.45">
      <c r="I569" s="1" t="s">
        <v>833</v>
      </c>
      <c r="O569" s="2" t="s">
        <v>617</v>
      </c>
      <c r="P569" s="2">
        <v>0</v>
      </c>
      <c r="Q569" s="2">
        <v>1</v>
      </c>
      <c r="R569" s="2">
        <v>0</v>
      </c>
      <c r="S569" s="2">
        <v>1</v>
      </c>
      <c r="T569" s="2">
        <v>2</v>
      </c>
      <c r="U569" s="2">
        <f>IF(SUMIFS(StandardName[RankValueInTheRanking],StandardName[StandardizedName],ARWU_Webometrics[[#This Row],[Nazwa uczelni]],StandardName[Ranking],$U$1)=0,$N$3,SUMIFS(StandardName[RankValueInTheRanking],StandardName[StandardizedName],ARWU_Webometrics[[#This Row],[Nazwa uczelni]],StandardName[Ranking],$U$1))</f>
        <v>250</v>
      </c>
      <c r="V569" s="2">
        <f>IF(SUMIFS(StandardName[RankValueInTheRanking],StandardName[StandardizedName],ARWU_Webometrics[[#This Row],[Nazwa uczelni]],StandardName[Ranking],$V$1)=0,$N$3,SUMIFS(StandardName[RankValueInTheRanking],StandardName[StandardizedName],ARWU_Webometrics[[#This Row],[Nazwa uczelni]],StandardName[Ranking],$V$1))</f>
        <v>92</v>
      </c>
      <c r="W569" s="2">
        <f>IF(SUMIFS(StandardName[RankValueInTheRanking],StandardName[StandardizedName],ARWU_Webometrics[[#This Row],[Nazwa uczelni]],StandardName[Ranking],$W$1)=0,$N$3,SUMIFS(StandardName[RankValueInTheRanking],StandardName[StandardizedName],ARWU_Webometrics[[#This Row],[Nazwa uczelni]],StandardName[Ranking],$W$1))</f>
        <v>250</v>
      </c>
      <c r="X569" s="2">
        <f>IF(SUMIFS(StandardName[RankValueInTheRanking],StandardName[StandardizedName],ARWU_Webometrics[[#This Row],[Nazwa uczelni]],StandardName[Ranking],$X$1)=0,$N$3,SUMIFS(StandardName[RankValueInTheRanking],StandardName[StandardizedName],ARWU_Webometrics[[#This Row],[Nazwa uczelni]],StandardName[Ranking],$X$1))</f>
        <v>71</v>
      </c>
      <c r="Y569" s="2">
        <f>SUM(ARWU_Webometrics[[#This Row],[THE_RV1000]:[Webometrics_RV1000]])</f>
        <v>663</v>
      </c>
      <c r="Z569" s="2">
        <v>0</v>
      </c>
      <c r="AA569" s="2">
        <v>92</v>
      </c>
      <c r="AB569" s="2">
        <v>0</v>
      </c>
      <c r="AC569" s="2">
        <v>71</v>
      </c>
    </row>
    <row r="570" spans="9:29" outlineLevel="1" x14ac:dyDescent="0.45">
      <c r="I570" s="2" t="s">
        <v>322</v>
      </c>
      <c r="O570" s="1" t="s">
        <v>598</v>
      </c>
      <c r="P570" s="1">
        <v>0</v>
      </c>
      <c r="Q570" s="1">
        <v>1</v>
      </c>
      <c r="R570" s="1">
        <v>0</v>
      </c>
      <c r="S570" s="1">
        <v>1</v>
      </c>
      <c r="T570" s="1">
        <v>2</v>
      </c>
      <c r="U570" s="2">
        <f>IF(SUMIFS(StandardName[RankValueInTheRanking],StandardName[StandardizedName],ARWU_Webometrics[[#This Row],[Nazwa uczelni]],StandardName[Ranking],$U$1)=0,$N$3,SUMIFS(StandardName[RankValueInTheRanking],StandardName[StandardizedName],ARWU_Webometrics[[#This Row],[Nazwa uczelni]],StandardName[Ranking],$U$1))</f>
        <v>250</v>
      </c>
      <c r="V570" s="2">
        <f>IF(SUMIFS(StandardName[RankValueInTheRanking],StandardName[StandardizedName],ARWU_Webometrics[[#This Row],[Nazwa uczelni]],StandardName[Ranking],$V$1)=0,$N$3,SUMIFS(StandardName[RankValueInTheRanking],StandardName[StandardizedName],ARWU_Webometrics[[#This Row],[Nazwa uczelni]],StandardName[Ranking],$V$1))</f>
        <v>67</v>
      </c>
      <c r="W570" s="2">
        <f>IF(SUMIFS(StandardName[RankValueInTheRanking],StandardName[StandardizedName],ARWU_Webometrics[[#This Row],[Nazwa uczelni]],StandardName[Ranking],$W$1)=0,$N$3,SUMIFS(StandardName[RankValueInTheRanking],StandardName[StandardizedName],ARWU_Webometrics[[#This Row],[Nazwa uczelni]],StandardName[Ranking],$W$1))</f>
        <v>250</v>
      </c>
      <c r="X570" s="2">
        <f>IF(SUMIFS(StandardName[RankValueInTheRanking],StandardName[StandardizedName],ARWU_Webometrics[[#This Row],[Nazwa uczelni]],StandardName[Ranking],$X$1)=0,$N$3,SUMIFS(StandardName[RankValueInTheRanking],StandardName[StandardizedName],ARWU_Webometrics[[#This Row],[Nazwa uczelni]],StandardName[Ranking],$X$1))</f>
        <v>97</v>
      </c>
      <c r="Y570" s="2">
        <f>SUM(ARWU_Webometrics[[#This Row],[THE_RV1000]:[Webometrics_RV1000]])</f>
        <v>664</v>
      </c>
      <c r="Z570" s="1">
        <v>0</v>
      </c>
      <c r="AA570" s="1">
        <v>67</v>
      </c>
      <c r="AB570" s="1">
        <v>0</v>
      </c>
      <c r="AC570" s="1">
        <v>97</v>
      </c>
    </row>
    <row r="571" spans="9:29" outlineLevel="1" x14ac:dyDescent="0.45">
      <c r="I571" s="1" t="s">
        <v>313</v>
      </c>
      <c r="O571" s="11" t="s">
        <v>618</v>
      </c>
      <c r="P571" s="11">
        <v>0</v>
      </c>
      <c r="Q571" s="11">
        <v>1</v>
      </c>
      <c r="R571" s="11">
        <v>0</v>
      </c>
      <c r="S571" s="11">
        <v>1</v>
      </c>
      <c r="T571" s="11">
        <v>2</v>
      </c>
      <c r="U571" s="2">
        <f>IF(SUMIFS(StandardName[RankValueInTheRanking],StandardName[StandardizedName],ARWU_Webometrics[[#This Row],[Nazwa uczelni]],StandardName[Ranking],$U$1)=0,$N$3,SUMIFS(StandardName[RankValueInTheRanking],StandardName[StandardizedName],ARWU_Webometrics[[#This Row],[Nazwa uczelni]],StandardName[Ranking],$U$1))</f>
        <v>250</v>
      </c>
      <c r="V571" s="2">
        <f>IF(SUMIFS(StandardName[RankValueInTheRanking],StandardName[StandardizedName],ARWU_Webometrics[[#This Row],[Nazwa uczelni]],StandardName[Ranking],$V$1)=0,$N$3,SUMIFS(StandardName[RankValueInTheRanking],StandardName[StandardizedName],ARWU_Webometrics[[#This Row],[Nazwa uczelni]],StandardName[Ranking],$V$1))</f>
        <v>92</v>
      </c>
      <c r="W571" s="2">
        <f>IF(SUMIFS(StandardName[RankValueInTheRanking],StandardName[StandardizedName],ARWU_Webometrics[[#This Row],[Nazwa uczelni]],StandardName[Ranking],$W$1)=0,$N$3,SUMIFS(StandardName[RankValueInTheRanking],StandardName[StandardizedName],ARWU_Webometrics[[#This Row],[Nazwa uczelni]],StandardName[Ranking],$W$1))</f>
        <v>250</v>
      </c>
      <c r="X571" s="2">
        <f>IF(SUMIFS(StandardName[RankValueInTheRanking],StandardName[StandardizedName],ARWU_Webometrics[[#This Row],[Nazwa uczelni]],StandardName[Ranking],$X$1)=0,$N$3,SUMIFS(StandardName[RankValueInTheRanking],StandardName[StandardizedName],ARWU_Webometrics[[#This Row],[Nazwa uczelni]],StandardName[Ranking],$X$1))</f>
        <v>93</v>
      </c>
      <c r="Y571" s="2">
        <f>SUM(ARWU_Webometrics[[#This Row],[THE_RV1000]:[Webometrics_RV1000]])</f>
        <v>685</v>
      </c>
      <c r="Z571" s="11">
        <v>0</v>
      </c>
      <c r="AA571" s="11">
        <v>92</v>
      </c>
      <c r="AB571" s="11">
        <v>0</v>
      </c>
      <c r="AC571" s="11">
        <v>93</v>
      </c>
    </row>
    <row r="572" spans="9:29" outlineLevel="1" x14ac:dyDescent="0.45">
      <c r="I572" s="2" t="s">
        <v>612</v>
      </c>
    </row>
    <row r="573" spans="9:29" outlineLevel="1" x14ac:dyDescent="0.45">
      <c r="I573" s="1" t="s">
        <v>48</v>
      </c>
    </row>
    <row r="574" spans="9:29" outlineLevel="1" x14ac:dyDescent="0.45">
      <c r="I574" s="1" t="s">
        <v>732</v>
      </c>
    </row>
    <row r="575" spans="9:29" outlineLevel="1" x14ac:dyDescent="0.45">
      <c r="I575" s="1" t="s">
        <v>355</v>
      </c>
    </row>
    <row r="576" spans="9:29" outlineLevel="1" x14ac:dyDescent="0.45"/>
    <row r="577" outlineLevel="1" x14ac:dyDescent="0.45"/>
    <row r="578" outlineLevel="1" x14ac:dyDescent="0.45"/>
    <row r="579" outlineLevel="1" x14ac:dyDescent="0.45"/>
    <row r="580" outlineLevel="1" x14ac:dyDescent="0.45"/>
    <row r="581" outlineLevel="1" x14ac:dyDescent="0.45"/>
    <row r="582" outlineLevel="1" x14ac:dyDescent="0.45"/>
    <row r="583" outlineLevel="1" x14ac:dyDescent="0.45"/>
    <row r="584" outlineLevel="1" x14ac:dyDescent="0.45"/>
    <row r="585" outlineLevel="1" x14ac:dyDescent="0.45"/>
    <row r="586" outlineLevel="1" x14ac:dyDescent="0.45"/>
    <row r="587" outlineLevel="1" x14ac:dyDescent="0.45"/>
    <row r="588" outlineLevel="1" x14ac:dyDescent="0.45"/>
    <row r="589" outlineLevel="1" x14ac:dyDescent="0.45"/>
    <row r="590" outlineLevel="1" x14ac:dyDescent="0.45"/>
    <row r="591" outlineLevel="1" x14ac:dyDescent="0.45"/>
    <row r="592" outlineLevel="1" x14ac:dyDescent="0.45"/>
    <row r="593" outlineLevel="1" x14ac:dyDescent="0.45"/>
    <row r="594" outlineLevel="1" x14ac:dyDescent="0.45"/>
    <row r="595" outlineLevel="1" x14ac:dyDescent="0.45"/>
    <row r="596" outlineLevel="1" x14ac:dyDescent="0.45"/>
    <row r="597" outlineLevel="1" x14ac:dyDescent="0.45"/>
    <row r="598" outlineLevel="1" x14ac:dyDescent="0.45"/>
    <row r="599" outlineLevel="1" x14ac:dyDescent="0.45"/>
    <row r="600" outlineLevel="1" x14ac:dyDescent="0.45"/>
    <row r="601" outlineLevel="1" x14ac:dyDescent="0.45"/>
    <row r="602" outlineLevel="1" x14ac:dyDescent="0.45"/>
    <row r="603" outlineLevel="1" x14ac:dyDescent="0.45"/>
    <row r="604" outlineLevel="1" x14ac:dyDescent="0.45"/>
    <row r="605" outlineLevel="1" x14ac:dyDescent="0.45"/>
    <row r="606" outlineLevel="1" x14ac:dyDescent="0.45"/>
    <row r="607" outlineLevel="1" x14ac:dyDescent="0.45"/>
    <row r="608" outlineLevel="1" x14ac:dyDescent="0.45"/>
    <row r="609" spans="15:29" outlineLevel="1" x14ac:dyDescent="0.45"/>
    <row r="610" spans="15:29" outlineLevel="1" x14ac:dyDescent="0.45"/>
    <row r="612" spans="15:29" x14ac:dyDescent="0.45">
      <c r="O612" t="s">
        <v>886</v>
      </c>
    </row>
    <row r="613" spans="15:29" x14ac:dyDescent="0.45">
      <c r="O613" s="7" t="s">
        <v>855</v>
      </c>
      <c r="P613" s="7" t="s">
        <v>846</v>
      </c>
      <c r="Q613" s="7" t="s">
        <v>848</v>
      </c>
      <c r="R613" s="7" t="s">
        <v>849</v>
      </c>
      <c r="S613" s="7" t="s">
        <v>850</v>
      </c>
      <c r="T613" s="7" t="s">
        <v>861</v>
      </c>
      <c r="U613" s="7" t="s">
        <v>875</v>
      </c>
      <c r="V613" s="7" t="s">
        <v>876</v>
      </c>
      <c r="W613" s="7" t="s">
        <v>877</v>
      </c>
      <c r="X613" s="7" t="s">
        <v>878</v>
      </c>
      <c r="Y613" s="7" t="s">
        <v>874</v>
      </c>
      <c r="Z613" s="7" t="s">
        <v>870</v>
      </c>
      <c r="AA613" s="7" t="s">
        <v>871</v>
      </c>
      <c r="AB613" s="7" t="s">
        <v>872</v>
      </c>
      <c r="AC613" s="7" t="s">
        <v>873</v>
      </c>
    </row>
    <row r="614" spans="15:29" outlineLevel="1" x14ac:dyDescent="0.45">
      <c r="O614" s="1" t="s">
        <v>8</v>
      </c>
      <c r="P614" s="1">
        <v>1</v>
      </c>
      <c r="Q614" s="1">
        <v>1</v>
      </c>
      <c r="R614" s="1">
        <v>1</v>
      </c>
      <c r="S614" s="1">
        <v>1</v>
      </c>
      <c r="T614" s="1">
        <v>4</v>
      </c>
      <c r="U614" s="2">
        <f>IF(SUMIFS(StandardName[RankValueInTheRanking],StandardName[StandardizedName],QS_Webometrics[[#This Row],[Nazwa uczelni]],StandardName[Ranking],$U$1)=0,$N$3,SUMIFS(StandardName[RankValueInTheRanking],StandardName[StandardizedName],QS_Webometrics[[#This Row],[Nazwa uczelni]],StandardName[Ranking],$U$1))</f>
        <v>2</v>
      </c>
      <c r="V614" s="2">
        <f>IF(SUMIFS(StandardName[RankValueInTheRanking],StandardName[StandardizedName],QS_Webometrics[[#This Row],[Nazwa uczelni]],StandardName[Ranking],$V$1)=0,$N$3,SUMIFS(StandardName[RankValueInTheRanking],StandardName[StandardizedName],QS_Webometrics[[#This Row],[Nazwa uczelni]],StandardName[Ranking],$V$1))</f>
        <v>1</v>
      </c>
      <c r="W614" s="2">
        <f>IF(SUMIFS(StandardName[RankValueInTheRanking],StandardName[StandardizedName],QS_Webometrics[[#This Row],[Nazwa uczelni]],StandardName[Ranking],$W$1)=0,$N$3,SUMIFS(StandardName[RankValueInTheRanking],StandardName[StandardizedName],QS_Webometrics[[#This Row],[Nazwa uczelni]],StandardName[Ranking],$W$1))</f>
        <v>5</v>
      </c>
      <c r="X614" s="2">
        <f>IF(SUMIFS(StandardName[RankValueInTheRanking],StandardName[StandardizedName],QS_Webometrics[[#This Row],[Nazwa uczelni]],StandardName[Ranking],$X$1)=0,$N$3,SUMIFS(StandardName[RankValueInTheRanking],StandardName[StandardizedName],QS_Webometrics[[#This Row],[Nazwa uczelni]],StandardName[Ranking],$X$1))</f>
        <v>1</v>
      </c>
      <c r="Y614" s="2">
        <f>SUM(QS_Webometrics[[#This Row],[THE_RV1000]:[Webometrics_RV1000]])</f>
        <v>9</v>
      </c>
      <c r="Z614" s="1">
        <v>2</v>
      </c>
      <c r="AA614" s="1">
        <v>1</v>
      </c>
      <c r="AB614" s="1">
        <v>5</v>
      </c>
      <c r="AC614" s="1">
        <v>1</v>
      </c>
    </row>
    <row r="615" spans="15:29" outlineLevel="1" x14ac:dyDescent="0.45">
      <c r="O615" s="2" t="s">
        <v>21</v>
      </c>
      <c r="P615" s="2">
        <v>1</v>
      </c>
      <c r="Q615" s="2">
        <v>1</v>
      </c>
      <c r="R615" s="2">
        <v>1</v>
      </c>
      <c r="S615" s="2">
        <v>1</v>
      </c>
      <c r="T615" s="2">
        <v>4</v>
      </c>
      <c r="U615" s="2">
        <f>IF(SUMIFS(StandardName[RankValueInTheRanking],StandardName[StandardizedName],QS_Webometrics[[#This Row],[Nazwa uczelni]],StandardName[Ranking],$U$1)=0,$N$3,SUMIFS(StandardName[RankValueInTheRanking],StandardName[StandardizedName],QS_Webometrics[[#This Row],[Nazwa uczelni]],StandardName[Ranking],$U$1))</f>
        <v>3</v>
      </c>
      <c r="V615" s="2">
        <f>IF(SUMIFS(StandardName[RankValueInTheRanking],StandardName[StandardizedName],QS_Webometrics[[#This Row],[Nazwa uczelni]],StandardName[Ranking],$V$1)=0,$N$3,SUMIFS(StandardName[RankValueInTheRanking],StandardName[StandardizedName],QS_Webometrics[[#This Row],[Nazwa uczelni]],StandardName[Ranking],$V$1))</f>
        <v>2</v>
      </c>
      <c r="W615" s="2">
        <f>IF(SUMIFS(StandardName[RankValueInTheRanking],StandardName[StandardizedName],QS_Webometrics[[#This Row],[Nazwa uczelni]],StandardName[Ranking],$W$1)=0,$N$3,SUMIFS(StandardName[RankValueInTheRanking],StandardName[StandardizedName],QS_Webometrics[[#This Row],[Nazwa uczelni]],StandardName[Ranking],$W$1))</f>
        <v>3</v>
      </c>
      <c r="X615" s="2">
        <f>IF(SUMIFS(StandardName[RankValueInTheRanking],StandardName[StandardizedName],QS_Webometrics[[#This Row],[Nazwa uczelni]],StandardName[Ranking],$X$1)=0,$N$3,SUMIFS(StandardName[RankValueInTheRanking],StandardName[StandardizedName],QS_Webometrics[[#This Row],[Nazwa uczelni]],StandardName[Ranking],$X$1))</f>
        <v>2</v>
      </c>
      <c r="Y615" s="2">
        <f>SUM(QS_Webometrics[[#This Row],[THE_RV1000]:[Webometrics_RV1000]])</f>
        <v>10</v>
      </c>
      <c r="Z615" s="2">
        <v>3</v>
      </c>
      <c r="AA615" s="2">
        <v>2</v>
      </c>
      <c r="AB615" s="2">
        <v>3</v>
      </c>
      <c r="AC615" s="2">
        <v>2</v>
      </c>
    </row>
    <row r="616" spans="15:29" outlineLevel="1" x14ac:dyDescent="0.45">
      <c r="O616" s="1" t="s">
        <v>27</v>
      </c>
      <c r="P616" s="1">
        <v>1</v>
      </c>
      <c r="Q616" s="1">
        <v>1</v>
      </c>
      <c r="R616" s="1">
        <v>1</v>
      </c>
      <c r="S616" s="1">
        <v>1</v>
      </c>
      <c r="T616" s="1">
        <v>4</v>
      </c>
      <c r="U616" s="2">
        <f>IF(SUMIFS(StandardName[RankValueInTheRanking],StandardName[StandardizedName],QS_Webometrics[[#This Row],[Nazwa uczelni]],StandardName[Ranking],$U$1)=0,$N$3,SUMIFS(StandardName[RankValueInTheRanking],StandardName[StandardizedName],QS_Webometrics[[#This Row],[Nazwa uczelni]],StandardName[Ranking],$U$1))</f>
        <v>5</v>
      </c>
      <c r="V616" s="2">
        <f>IF(SUMIFS(StandardName[RankValueInTheRanking],StandardName[StandardizedName],QS_Webometrics[[#This Row],[Nazwa uczelni]],StandardName[Ranking],$V$1)=0,$N$3,SUMIFS(StandardName[RankValueInTheRanking],StandardName[StandardizedName],QS_Webometrics[[#This Row],[Nazwa uczelni]],StandardName[Ranking],$V$1))</f>
        <v>3</v>
      </c>
      <c r="W616" s="2">
        <f>IF(SUMIFS(StandardName[RankValueInTheRanking],StandardName[StandardizedName],QS_Webometrics[[#This Row],[Nazwa uczelni]],StandardName[Ranking],$W$1)=0,$N$3,SUMIFS(StandardName[RankValueInTheRanking],StandardName[StandardizedName],QS_Webometrics[[#This Row],[Nazwa uczelni]],StandardName[Ranking],$W$1))</f>
        <v>1</v>
      </c>
      <c r="X616" s="2">
        <f>IF(SUMIFS(StandardName[RankValueInTheRanking],StandardName[StandardizedName],QS_Webometrics[[#This Row],[Nazwa uczelni]],StandardName[Ranking],$X$1)=0,$N$3,SUMIFS(StandardName[RankValueInTheRanking],StandardName[StandardizedName],QS_Webometrics[[#This Row],[Nazwa uczelni]],StandardName[Ranking],$X$1))</f>
        <v>3</v>
      </c>
      <c r="Y616" s="2">
        <f>SUM(QS_Webometrics[[#This Row],[THE_RV1000]:[Webometrics_RV1000]])</f>
        <v>12</v>
      </c>
      <c r="Z616" s="1">
        <v>5</v>
      </c>
      <c r="AA616" s="1">
        <v>3</v>
      </c>
      <c r="AB616" s="1">
        <v>1</v>
      </c>
      <c r="AC616" s="1">
        <v>3</v>
      </c>
    </row>
    <row r="617" spans="15:29" outlineLevel="1" x14ac:dyDescent="0.45">
      <c r="O617" s="2" t="s">
        <v>0</v>
      </c>
      <c r="P617" s="2">
        <v>1</v>
      </c>
      <c r="Q617" s="2">
        <v>1</v>
      </c>
      <c r="R617" s="2">
        <v>1</v>
      </c>
      <c r="S617" s="2">
        <v>1</v>
      </c>
      <c r="T617" s="2">
        <v>4</v>
      </c>
      <c r="U617" s="2">
        <f>IF(SUMIFS(StandardName[RankValueInTheRanking],StandardName[StandardizedName],QS_Webometrics[[#This Row],[Nazwa uczelni]],StandardName[Ranking],$U$1)=0,$N$3,SUMIFS(StandardName[RankValueInTheRanking],StandardName[StandardizedName],QS_Webometrics[[#This Row],[Nazwa uczelni]],StandardName[Ranking],$U$1))</f>
        <v>1</v>
      </c>
      <c r="V617" s="2">
        <f>IF(SUMIFS(StandardName[RankValueInTheRanking],StandardName[StandardizedName],QS_Webometrics[[#This Row],[Nazwa uczelni]],StandardName[Ranking],$V$1)=0,$N$3,SUMIFS(StandardName[RankValueInTheRanking],StandardName[StandardizedName],QS_Webometrics[[#This Row],[Nazwa uczelni]],StandardName[Ranking],$V$1))</f>
        <v>7</v>
      </c>
      <c r="W617" s="2">
        <f>IF(SUMIFS(StandardName[RankValueInTheRanking],StandardName[StandardizedName],QS_Webometrics[[#This Row],[Nazwa uczelni]],StandardName[Ranking],$W$1)=0,$N$3,SUMIFS(StandardName[RankValueInTheRanking],StandardName[StandardizedName],QS_Webometrics[[#This Row],[Nazwa uczelni]],StandardName[Ranking],$W$1))</f>
        <v>4</v>
      </c>
      <c r="X617" s="2">
        <f>IF(SUMIFS(StandardName[RankValueInTheRanking],StandardName[StandardizedName],QS_Webometrics[[#This Row],[Nazwa uczelni]],StandardName[Ranking],$X$1)=0,$N$3,SUMIFS(StandardName[RankValueInTheRanking],StandardName[StandardizedName],QS_Webometrics[[#This Row],[Nazwa uczelni]],StandardName[Ranking],$X$1))</f>
        <v>5</v>
      </c>
      <c r="Y617" s="2">
        <f>SUM(QS_Webometrics[[#This Row],[THE_RV1000]:[Webometrics_RV1000]])</f>
        <v>17</v>
      </c>
      <c r="Z617" s="2">
        <v>1</v>
      </c>
      <c r="AA617" s="2">
        <v>7</v>
      </c>
      <c r="AB617" s="2">
        <v>4</v>
      </c>
      <c r="AC617" s="2">
        <v>5</v>
      </c>
    </row>
    <row r="618" spans="15:29" outlineLevel="1" x14ac:dyDescent="0.45">
      <c r="O618" s="1" t="s">
        <v>15</v>
      </c>
      <c r="P618" s="1">
        <v>1</v>
      </c>
      <c r="Q618" s="1">
        <v>1</v>
      </c>
      <c r="R618" s="1">
        <v>1</v>
      </c>
      <c r="S618" s="1">
        <v>1</v>
      </c>
      <c r="T618" s="1">
        <v>4</v>
      </c>
      <c r="U618" s="2">
        <f>IF(SUMIFS(StandardName[RankValueInTheRanking],StandardName[StandardizedName],QS_Webometrics[[#This Row],[Nazwa uczelni]],StandardName[Ranking],$U$1)=0,$N$3,SUMIFS(StandardName[RankValueInTheRanking],StandardName[StandardizedName],QS_Webometrics[[#This Row],[Nazwa uczelni]],StandardName[Ranking],$U$1))</f>
        <v>3</v>
      </c>
      <c r="V618" s="2">
        <f>IF(SUMIFS(StandardName[RankValueInTheRanking],StandardName[StandardizedName],QS_Webometrics[[#This Row],[Nazwa uczelni]],StandardName[Ranking],$V$1)=0,$N$3,SUMIFS(StandardName[RankValueInTheRanking],StandardName[StandardizedName],QS_Webometrics[[#This Row],[Nazwa uczelni]],StandardName[Ranking],$V$1))</f>
        <v>4</v>
      </c>
      <c r="W618" s="2">
        <f>IF(SUMIFS(StandardName[RankValueInTheRanking],StandardName[StandardizedName],QS_Webometrics[[#This Row],[Nazwa uczelni]],StandardName[Ranking],$W$1)=0,$N$3,SUMIFS(StandardName[RankValueInTheRanking],StandardName[StandardizedName],QS_Webometrics[[#This Row],[Nazwa uczelni]],StandardName[Ranking],$W$1))</f>
        <v>2</v>
      </c>
      <c r="X618" s="2">
        <f>IF(SUMIFS(StandardName[RankValueInTheRanking],StandardName[StandardizedName],QS_Webometrics[[#This Row],[Nazwa uczelni]],StandardName[Ranking],$X$1)=0,$N$3,SUMIFS(StandardName[RankValueInTheRanking],StandardName[StandardizedName],QS_Webometrics[[#This Row],[Nazwa uczelni]],StandardName[Ranking],$X$1))</f>
        <v>12</v>
      </c>
      <c r="Y618" s="2">
        <f>SUM(QS_Webometrics[[#This Row],[THE_RV1000]:[Webometrics_RV1000]])</f>
        <v>21</v>
      </c>
      <c r="Z618" s="1">
        <v>3</v>
      </c>
      <c r="AA618" s="1">
        <v>4</v>
      </c>
      <c r="AB618" s="1">
        <v>2</v>
      </c>
      <c r="AC618" s="1">
        <v>12</v>
      </c>
    </row>
    <row r="619" spans="15:29" outlineLevel="1" x14ac:dyDescent="0.45">
      <c r="O619" s="2" t="s">
        <v>792</v>
      </c>
      <c r="P619" s="2">
        <v>1</v>
      </c>
      <c r="Q619" s="2">
        <v>1</v>
      </c>
      <c r="R619" s="2">
        <v>1</v>
      </c>
      <c r="S619" s="2">
        <v>1</v>
      </c>
      <c r="T619" s="2">
        <v>4</v>
      </c>
      <c r="U619" s="2">
        <f>IF(SUMIFS(StandardName[RankValueInTheRanking],StandardName[StandardizedName],QS_Webometrics[[#This Row],[Nazwa uczelni]],StandardName[Ranking],$U$1)=0,$N$3,SUMIFS(StandardName[RankValueInTheRanking],StandardName[StandardizedName],QS_Webometrics[[#This Row],[Nazwa uczelni]],StandardName[Ranking],$U$1))</f>
        <v>8</v>
      </c>
      <c r="V619" s="2">
        <f>IF(SUMIFS(StandardName[RankValueInTheRanking],StandardName[StandardizedName],QS_Webometrics[[#This Row],[Nazwa uczelni]],StandardName[Ranking],$V$1)=0,$N$3,SUMIFS(StandardName[RankValueInTheRanking],StandardName[StandardizedName],QS_Webometrics[[#This Row],[Nazwa uczelni]],StandardName[Ranking],$V$1))</f>
        <v>5</v>
      </c>
      <c r="W619" s="2">
        <f>IF(SUMIFS(StandardName[RankValueInTheRanking],StandardName[StandardizedName],QS_Webometrics[[#This Row],[Nazwa uczelni]],StandardName[Ranking],$W$1)=0,$N$3,SUMIFS(StandardName[RankValueInTheRanking],StandardName[StandardizedName],QS_Webometrics[[#This Row],[Nazwa uczelni]],StandardName[Ranking],$W$1))</f>
        <v>27</v>
      </c>
      <c r="X619" s="2">
        <f>IF(SUMIFS(StandardName[RankValueInTheRanking],StandardName[StandardizedName],QS_Webometrics[[#This Row],[Nazwa uczelni]],StandardName[Ranking],$X$1)=0,$N$3,SUMIFS(StandardName[RankValueInTheRanking],StandardName[StandardizedName],QS_Webometrics[[#This Row],[Nazwa uczelni]],StandardName[Ranking],$X$1))</f>
        <v>4</v>
      </c>
      <c r="Y619" s="2">
        <f>SUM(QS_Webometrics[[#This Row],[THE_RV1000]:[Webometrics_RV1000]])</f>
        <v>44</v>
      </c>
      <c r="Z619" s="2">
        <v>8</v>
      </c>
      <c r="AA619" s="2">
        <v>5</v>
      </c>
      <c r="AB619" s="2">
        <v>27</v>
      </c>
      <c r="AC619" s="2">
        <v>4</v>
      </c>
    </row>
    <row r="620" spans="15:29" outlineLevel="1" x14ac:dyDescent="0.45">
      <c r="O620" s="1" t="s">
        <v>61</v>
      </c>
      <c r="P620" s="1">
        <v>1</v>
      </c>
      <c r="Q620" s="1">
        <v>1</v>
      </c>
      <c r="R620" s="1">
        <v>1</v>
      </c>
      <c r="S620" s="1">
        <v>1</v>
      </c>
      <c r="T620" s="1">
        <v>4</v>
      </c>
      <c r="U620" s="2">
        <f>IF(SUMIFS(StandardName[RankValueInTheRanking],StandardName[StandardizedName],QS_Webometrics[[#This Row],[Nazwa uczelni]],StandardName[Ranking],$U$1)=0,$N$3,SUMIFS(StandardName[RankValueInTheRanking],StandardName[StandardizedName],QS_Webometrics[[#This Row],[Nazwa uczelni]],StandardName[Ranking],$U$1))</f>
        <v>11</v>
      </c>
      <c r="V620" s="2">
        <f>IF(SUMIFS(StandardName[RankValueInTheRanking],StandardName[StandardizedName],QS_Webometrics[[#This Row],[Nazwa uczelni]],StandardName[Ranking],$V$1)=0,$N$3,SUMIFS(StandardName[RankValueInTheRanking],StandardName[StandardizedName],QS_Webometrics[[#This Row],[Nazwa uczelni]],StandardName[Ranking],$V$1))</f>
        <v>8</v>
      </c>
      <c r="W620" s="2">
        <f>IF(SUMIFS(StandardName[RankValueInTheRanking],StandardName[StandardizedName],QS_Webometrics[[#This Row],[Nazwa uczelni]],StandardName[Ranking],$W$1)=0,$N$3,SUMIFS(StandardName[RankValueInTheRanking],StandardName[StandardizedName],QS_Webometrics[[#This Row],[Nazwa uczelni]],StandardName[Ranking],$W$1))</f>
        <v>22</v>
      </c>
      <c r="X620" s="2">
        <f>IF(SUMIFS(StandardName[RankValueInTheRanking],StandardName[StandardizedName],QS_Webometrics[[#This Row],[Nazwa uczelni]],StandardName[Ranking],$X$1)=0,$N$3,SUMIFS(StandardName[RankValueInTheRanking],StandardName[StandardizedName],QS_Webometrics[[#This Row],[Nazwa uczelni]],StandardName[Ranking],$X$1))</f>
        <v>9</v>
      </c>
      <c r="Y620" s="2">
        <f>SUM(QS_Webometrics[[#This Row],[THE_RV1000]:[Webometrics_RV1000]])</f>
        <v>50</v>
      </c>
      <c r="Z620" s="1">
        <v>11</v>
      </c>
      <c r="AA620" s="1">
        <v>8</v>
      </c>
      <c r="AB620" s="1">
        <v>22</v>
      </c>
      <c r="AC620" s="1">
        <v>9</v>
      </c>
    </row>
    <row r="621" spans="15:29" outlineLevel="1" x14ac:dyDescent="0.45">
      <c r="O621" s="2" t="s">
        <v>48</v>
      </c>
      <c r="P621" s="2">
        <v>1</v>
      </c>
      <c r="Q621" s="2">
        <v>1</v>
      </c>
      <c r="R621" s="2">
        <v>1</v>
      </c>
      <c r="S621" s="2">
        <v>1</v>
      </c>
      <c r="T621" s="2">
        <v>4</v>
      </c>
      <c r="U621" s="2">
        <f>IF(SUMIFS(StandardName[RankValueInTheRanking],StandardName[StandardizedName],QS_Webometrics[[#This Row],[Nazwa uczelni]],StandardName[Ranking],$U$1)=0,$N$3,SUMIFS(StandardName[RankValueInTheRanking],StandardName[StandardizedName],QS_Webometrics[[#This Row],[Nazwa uczelni]],StandardName[Ranking],$U$1))</f>
        <v>9</v>
      </c>
      <c r="V621" s="2">
        <f>IF(SUMIFS(StandardName[RankValueInTheRanking],StandardName[StandardizedName],QS_Webometrics[[#This Row],[Nazwa uczelni]],StandardName[Ranking],$V$1)=0,$N$3,SUMIFS(StandardName[RankValueInTheRanking],StandardName[StandardizedName],QS_Webometrics[[#This Row],[Nazwa uczelni]],StandardName[Ranking],$V$1))</f>
        <v>11</v>
      </c>
      <c r="W621" s="2">
        <f>IF(SUMIFS(StandardName[RankValueInTheRanking],StandardName[StandardizedName],QS_Webometrics[[#This Row],[Nazwa uczelni]],StandardName[Ranking],$W$1)=0,$N$3,SUMIFS(StandardName[RankValueInTheRanking],StandardName[StandardizedName],QS_Webometrics[[#This Row],[Nazwa uczelni]],StandardName[Ranking],$W$1))</f>
        <v>18</v>
      </c>
      <c r="X621" s="2">
        <f>IF(SUMIFS(StandardName[RankValueInTheRanking],StandardName[StandardizedName],QS_Webometrics[[#This Row],[Nazwa uczelni]],StandardName[Ranking],$X$1)=0,$N$3,SUMIFS(StandardName[RankValueInTheRanking],StandardName[StandardizedName],QS_Webometrics[[#This Row],[Nazwa uczelni]],StandardName[Ranking],$X$1))</f>
        <v>14</v>
      </c>
      <c r="Y621" s="2">
        <f>SUM(QS_Webometrics[[#This Row],[THE_RV1000]:[Webometrics_RV1000]])</f>
        <v>52</v>
      </c>
      <c r="Z621" s="2">
        <v>9</v>
      </c>
      <c r="AA621" s="2">
        <v>11</v>
      </c>
      <c r="AB621" s="2">
        <v>18</v>
      </c>
      <c r="AC621" s="2">
        <v>14</v>
      </c>
    </row>
    <row r="622" spans="15:29" outlineLevel="1" x14ac:dyDescent="0.45">
      <c r="O622" s="1" t="s">
        <v>79</v>
      </c>
      <c r="P622" s="1">
        <v>1</v>
      </c>
      <c r="Q622" s="1">
        <v>1</v>
      </c>
      <c r="R622" s="1">
        <v>1</v>
      </c>
      <c r="S622" s="1">
        <v>1</v>
      </c>
      <c r="T622" s="1">
        <v>4</v>
      </c>
      <c r="U622" s="2">
        <f>IF(SUMIFS(StandardName[RankValueInTheRanking],StandardName[StandardizedName],QS_Webometrics[[#This Row],[Nazwa uczelni]],StandardName[Ranking],$U$1)=0,$N$3,SUMIFS(StandardName[RankValueInTheRanking],StandardName[StandardizedName],QS_Webometrics[[#This Row],[Nazwa uczelni]],StandardName[Ranking],$U$1))</f>
        <v>14</v>
      </c>
      <c r="V622" s="2">
        <f>IF(SUMIFS(StandardName[RankValueInTheRanking],StandardName[StandardizedName],QS_Webometrics[[#This Row],[Nazwa uczelni]],StandardName[Ranking],$V$1)=0,$N$3,SUMIFS(StandardName[RankValueInTheRanking],StandardName[StandardizedName],QS_Webometrics[[#This Row],[Nazwa uczelni]],StandardName[Ranking],$V$1))</f>
        <v>15</v>
      </c>
      <c r="W622" s="2">
        <f>IF(SUMIFS(StandardName[RankValueInTheRanking],StandardName[StandardizedName],QS_Webometrics[[#This Row],[Nazwa uczelni]],StandardName[Ranking],$W$1)=0,$N$3,SUMIFS(StandardName[RankValueInTheRanking],StandardName[StandardizedName],QS_Webometrics[[#This Row],[Nazwa uczelni]],StandardName[Ranking],$W$1))</f>
        <v>13</v>
      </c>
      <c r="X622" s="2">
        <f>IF(SUMIFS(StandardName[RankValueInTheRanking],StandardName[StandardizedName],QS_Webometrics[[#This Row],[Nazwa uczelni]],StandardName[Ranking],$X$1)=0,$N$3,SUMIFS(StandardName[RankValueInTheRanking],StandardName[StandardizedName],QS_Webometrics[[#This Row],[Nazwa uczelni]],StandardName[Ranking],$X$1))</f>
        <v>11</v>
      </c>
      <c r="Y622" s="2">
        <f>SUM(QS_Webometrics[[#This Row],[THE_RV1000]:[Webometrics_RV1000]])</f>
        <v>53</v>
      </c>
      <c r="Z622" s="1">
        <v>14</v>
      </c>
      <c r="AA622" s="1">
        <v>15</v>
      </c>
      <c r="AB622" s="1">
        <v>13</v>
      </c>
      <c r="AC622" s="1">
        <v>11</v>
      </c>
    </row>
    <row r="623" spans="15:29" outlineLevel="1" x14ac:dyDescent="0.45">
      <c r="O623" s="2" t="s">
        <v>36</v>
      </c>
      <c r="P623" s="2">
        <v>1</v>
      </c>
      <c r="Q623" s="2">
        <v>1</v>
      </c>
      <c r="R623" s="2">
        <v>1</v>
      </c>
      <c r="S623" s="2">
        <v>1</v>
      </c>
      <c r="T623" s="2">
        <v>4</v>
      </c>
      <c r="U623" s="2">
        <f>IF(SUMIFS(StandardName[RankValueInTheRanking],StandardName[StandardizedName],QS_Webometrics[[#This Row],[Nazwa uczelni]],StandardName[Ranking],$U$1)=0,$N$3,SUMIFS(StandardName[RankValueInTheRanking],StandardName[StandardizedName],QS_Webometrics[[#This Row],[Nazwa uczelni]],StandardName[Ranking],$U$1))</f>
        <v>7</v>
      </c>
      <c r="V623" s="2">
        <f>IF(SUMIFS(StandardName[RankValueInTheRanking],StandardName[StandardizedName],QS_Webometrics[[#This Row],[Nazwa uczelni]],StandardName[Ranking],$V$1)=0,$N$3,SUMIFS(StandardName[RankValueInTheRanking],StandardName[StandardizedName],QS_Webometrics[[#This Row],[Nazwa uczelni]],StandardName[Ranking],$V$1))</f>
        <v>6</v>
      </c>
      <c r="W623" s="2">
        <f>IF(SUMIFS(StandardName[RankValueInTheRanking],StandardName[StandardizedName],QS_Webometrics[[#This Row],[Nazwa uczelni]],StandardName[Ranking],$W$1)=0,$N$3,SUMIFS(StandardName[RankValueInTheRanking],StandardName[StandardizedName],QS_Webometrics[[#This Row],[Nazwa uczelni]],StandardName[Ranking],$W$1))</f>
        <v>16</v>
      </c>
      <c r="X623" s="2">
        <f>IF(SUMIFS(StandardName[RankValueInTheRanking],StandardName[StandardizedName],QS_Webometrics[[#This Row],[Nazwa uczelni]],StandardName[Ranking],$X$1)=0,$N$3,SUMIFS(StandardName[RankValueInTheRanking],StandardName[StandardizedName],QS_Webometrics[[#This Row],[Nazwa uczelni]],StandardName[Ranking],$X$1))</f>
        <v>26</v>
      </c>
      <c r="Y623" s="2">
        <f>SUM(QS_Webometrics[[#This Row],[THE_RV1000]:[Webometrics_RV1000]])</f>
        <v>55</v>
      </c>
      <c r="Z623" s="2">
        <v>7</v>
      </c>
      <c r="AA623" s="2">
        <v>6</v>
      </c>
      <c r="AB623" s="2">
        <v>16</v>
      </c>
      <c r="AC623" s="2">
        <v>26</v>
      </c>
    </row>
    <row r="624" spans="15:29" outlineLevel="1" x14ac:dyDescent="0.45">
      <c r="O624" s="1" t="s">
        <v>118</v>
      </c>
      <c r="P624" s="1">
        <v>1</v>
      </c>
      <c r="Q624" s="1">
        <v>1</v>
      </c>
      <c r="R624" s="1">
        <v>1</v>
      </c>
      <c r="S624" s="1">
        <v>1</v>
      </c>
      <c r="T624" s="1">
        <v>4</v>
      </c>
      <c r="U624" s="2">
        <f>IF(SUMIFS(StandardName[RankValueInTheRanking],StandardName[StandardizedName],QS_Webometrics[[#This Row],[Nazwa uczelni]],StandardName[Ranking],$U$1)=0,$N$3,SUMIFS(StandardName[RankValueInTheRanking],StandardName[StandardizedName],QS_Webometrics[[#This Row],[Nazwa uczelni]],StandardName[Ranking],$U$1))</f>
        <v>20</v>
      </c>
      <c r="V624" s="2">
        <f>IF(SUMIFS(StandardName[RankValueInTheRanking],StandardName[StandardizedName],QS_Webometrics[[#This Row],[Nazwa uczelni]],StandardName[Ranking],$V$1)=0,$N$3,SUMIFS(StandardName[RankValueInTheRanking],StandardName[StandardizedName],QS_Webometrics[[#This Row],[Nazwa uczelni]],StandardName[Ranking],$V$1))</f>
        <v>12</v>
      </c>
      <c r="W624" s="2">
        <f>IF(SUMIFS(StandardName[RankValueInTheRanking],StandardName[StandardizedName],QS_Webometrics[[#This Row],[Nazwa uczelni]],StandardName[Ranking],$W$1)=0,$N$3,SUMIFS(StandardName[RankValueInTheRanking],StandardName[StandardizedName],QS_Webometrics[[#This Row],[Nazwa uczelni]],StandardName[Ranking],$W$1))</f>
        <v>20</v>
      </c>
      <c r="X624" s="2">
        <f>IF(SUMIFS(StandardName[RankValueInTheRanking],StandardName[StandardizedName],QS_Webometrics[[#This Row],[Nazwa uczelni]],StandardName[Ranking],$X$1)=0,$N$3,SUMIFS(StandardName[RankValueInTheRanking],StandardName[StandardizedName],QS_Webometrics[[#This Row],[Nazwa uczelni]],StandardName[Ranking],$X$1))</f>
        <v>8</v>
      </c>
      <c r="Y624" s="2">
        <f>SUM(QS_Webometrics[[#This Row],[THE_RV1000]:[Webometrics_RV1000]])</f>
        <v>60</v>
      </c>
      <c r="Z624" s="1">
        <v>20</v>
      </c>
      <c r="AA624" s="1">
        <v>12</v>
      </c>
      <c r="AB624" s="1">
        <v>20</v>
      </c>
      <c r="AC624" s="1">
        <v>8</v>
      </c>
    </row>
    <row r="625" spans="15:29" outlineLevel="1" x14ac:dyDescent="0.45">
      <c r="O625" s="2" t="s">
        <v>501</v>
      </c>
      <c r="P625" s="2">
        <v>1</v>
      </c>
      <c r="Q625" s="2">
        <v>1</v>
      </c>
      <c r="R625" s="2">
        <v>1</v>
      </c>
      <c r="S625" s="2">
        <v>1</v>
      </c>
      <c r="T625" s="2">
        <v>4</v>
      </c>
      <c r="U625" s="2">
        <f>IF(SUMIFS(StandardName[RankValueInTheRanking],StandardName[StandardizedName],QS_Webometrics[[#This Row],[Nazwa uczelni]],StandardName[Ranking],$U$1)=0,$N$3,SUMIFS(StandardName[RankValueInTheRanking],StandardName[StandardizedName],QS_Webometrics[[#This Row],[Nazwa uczelni]],StandardName[Ranking],$U$1))</f>
        <v>13</v>
      </c>
      <c r="V625" s="2">
        <f>IF(SUMIFS(StandardName[RankValueInTheRanking],StandardName[StandardizedName],QS_Webometrics[[#This Row],[Nazwa uczelni]],StandardName[Ranking],$V$1)=0,$N$3,SUMIFS(StandardName[RankValueInTheRanking],StandardName[StandardizedName],QS_Webometrics[[#This Row],[Nazwa uczelni]],StandardName[Ranking],$V$1))</f>
        <v>10</v>
      </c>
      <c r="W625" s="2">
        <f>IF(SUMIFS(StandardName[RankValueInTheRanking],StandardName[StandardizedName],QS_Webometrics[[#This Row],[Nazwa uczelni]],StandardName[Ranking],$W$1)=0,$N$3,SUMIFS(StandardName[RankValueInTheRanking],StandardName[StandardizedName],QS_Webometrics[[#This Row],[Nazwa uczelni]],StandardName[Ranking],$W$1))</f>
        <v>10</v>
      </c>
      <c r="X625" s="2">
        <f>IF(SUMIFS(StandardName[RankValueInTheRanking],StandardName[StandardizedName],QS_Webometrics[[#This Row],[Nazwa uczelni]],StandardName[Ranking],$X$1)=0,$N$3,SUMIFS(StandardName[RankValueInTheRanking],StandardName[StandardizedName],QS_Webometrics[[#This Row],[Nazwa uczelni]],StandardName[Ranking],$X$1))</f>
        <v>29</v>
      </c>
      <c r="Y625" s="2">
        <f>SUM(QS_Webometrics[[#This Row],[THE_RV1000]:[Webometrics_RV1000]])</f>
        <v>62</v>
      </c>
      <c r="Z625" s="2">
        <v>13</v>
      </c>
      <c r="AA625" s="2">
        <v>10</v>
      </c>
      <c r="AB625" s="2">
        <v>10</v>
      </c>
      <c r="AC625" s="2">
        <v>29</v>
      </c>
    </row>
    <row r="626" spans="15:29" outlineLevel="1" x14ac:dyDescent="0.45">
      <c r="O626" s="1" t="s">
        <v>83</v>
      </c>
      <c r="P626" s="1">
        <v>1</v>
      </c>
      <c r="Q626" s="1">
        <v>1</v>
      </c>
      <c r="R626" s="1">
        <v>1</v>
      </c>
      <c r="S626" s="1">
        <v>1</v>
      </c>
      <c r="T626" s="1">
        <v>4</v>
      </c>
      <c r="U626" s="2">
        <f>IF(SUMIFS(StandardName[RankValueInTheRanking],StandardName[StandardizedName],QS_Webometrics[[#This Row],[Nazwa uczelni]],StandardName[Ranking],$U$1)=0,$N$3,SUMIFS(StandardName[RankValueInTheRanking],StandardName[StandardizedName],QS_Webometrics[[#This Row],[Nazwa uczelni]],StandardName[Ranking],$U$1))</f>
        <v>15</v>
      </c>
      <c r="V626" s="2">
        <f>IF(SUMIFS(StandardName[RankValueInTheRanking],StandardName[StandardizedName],QS_Webometrics[[#This Row],[Nazwa uczelni]],StandardName[Ranking],$V$1)=0,$N$3,SUMIFS(StandardName[RankValueInTheRanking],StandardName[StandardizedName],QS_Webometrics[[#This Row],[Nazwa uczelni]],StandardName[Ranking],$V$1))</f>
        <v>14</v>
      </c>
      <c r="W626" s="2">
        <f>IF(SUMIFS(StandardName[RankValueInTheRanking],StandardName[StandardizedName],QS_Webometrics[[#This Row],[Nazwa uczelni]],StandardName[Ranking],$W$1)=0,$N$3,SUMIFS(StandardName[RankValueInTheRanking],StandardName[StandardizedName],QS_Webometrics[[#This Row],[Nazwa uczelni]],StandardName[Ranking],$W$1))</f>
        <v>24</v>
      </c>
      <c r="X626" s="2">
        <f>IF(SUMIFS(StandardName[RankValueInTheRanking],StandardName[StandardizedName],QS_Webometrics[[#This Row],[Nazwa uczelni]],StandardName[Ranking],$X$1)=0,$N$3,SUMIFS(StandardName[RankValueInTheRanking],StandardName[StandardizedName],QS_Webometrics[[#This Row],[Nazwa uczelni]],StandardName[Ranking],$X$1))</f>
        <v>10</v>
      </c>
      <c r="Y626" s="2">
        <f>SUM(QS_Webometrics[[#This Row],[THE_RV1000]:[Webometrics_RV1000]])</f>
        <v>63</v>
      </c>
      <c r="Z626" s="1">
        <v>15</v>
      </c>
      <c r="AA626" s="1">
        <v>14</v>
      </c>
      <c r="AB626" s="1">
        <v>24</v>
      </c>
      <c r="AC626" s="1">
        <v>10</v>
      </c>
    </row>
    <row r="627" spans="15:29" outlineLevel="1" x14ac:dyDescent="0.45">
      <c r="O627" s="2" t="s">
        <v>796</v>
      </c>
      <c r="P627" s="2">
        <v>1</v>
      </c>
      <c r="Q627" s="2">
        <v>1</v>
      </c>
      <c r="R627" s="2">
        <v>1</v>
      </c>
      <c r="S627" s="2">
        <v>1</v>
      </c>
      <c r="T627" s="2">
        <v>4</v>
      </c>
      <c r="U627" s="2">
        <f>IF(SUMIFS(StandardName[RankValueInTheRanking],StandardName[StandardizedName],QS_Webometrics[[#This Row],[Nazwa uczelni]],StandardName[Ranking],$U$1)=0,$N$3,SUMIFS(StandardName[RankValueInTheRanking],StandardName[StandardizedName],QS_Webometrics[[#This Row],[Nazwa uczelni]],StandardName[Ranking],$U$1))</f>
        <v>22</v>
      </c>
      <c r="V627" s="2">
        <f>IF(SUMIFS(StandardName[RankValueInTheRanking],StandardName[StandardizedName],QS_Webometrics[[#This Row],[Nazwa uczelni]],StandardName[Ranking],$V$1)=0,$N$3,SUMIFS(StandardName[RankValueInTheRanking],StandardName[StandardizedName],QS_Webometrics[[#This Row],[Nazwa uczelni]],StandardName[Ranking],$V$1))</f>
        <v>18</v>
      </c>
      <c r="W627" s="2">
        <f>IF(SUMIFS(StandardName[RankValueInTheRanking],StandardName[StandardizedName],QS_Webometrics[[#This Row],[Nazwa uczelni]],StandardName[Ranking],$W$1)=0,$N$3,SUMIFS(StandardName[RankValueInTheRanking],StandardName[StandardizedName],QS_Webometrics[[#This Row],[Nazwa uczelni]],StandardName[Ranking],$W$1))</f>
        <v>8</v>
      </c>
      <c r="X627" s="2">
        <f>IF(SUMIFS(StandardName[RankValueInTheRanking],StandardName[StandardizedName],QS_Webometrics[[#This Row],[Nazwa uczelni]],StandardName[Ranking],$X$1)=0,$N$3,SUMIFS(StandardName[RankValueInTheRanking],StandardName[StandardizedName],QS_Webometrics[[#This Row],[Nazwa uczelni]],StandardName[Ranking],$X$1))</f>
        <v>15</v>
      </c>
      <c r="Y627" s="2">
        <f>SUM(QS_Webometrics[[#This Row],[THE_RV1000]:[Webometrics_RV1000]])</f>
        <v>63</v>
      </c>
      <c r="Z627" s="2">
        <v>22</v>
      </c>
      <c r="AA627" s="2">
        <v>18</v>
      </c>
      <c r="AB627" s="2">
        <v>8</v>
      </c>
      <c r="AC627" s="2">
        <v>15</v>
      </c>
    </row>
    <row r="628" spans="15:29" outlineLevel="1" x14ac:dyDescent="0.45">
      <c r="O628" s="1" t="s">
        <v>67</v>
      </c>
      <c r="P628" s="1">
        <v>1</v>
      </c>
      <c r="Q628" s="1">
        <v>1</v>
      </c>
      <c r="R628" s="1">
        <v>1</v>
      </c>
      <c r="S628" s="1">
        <v>1</v>
      </c>
      <c r="T628" s="1">
        <v>4</v>
      </c>
      <c r="U628" s="2">
        <f>IF(SUMIFS(StandardName[RankValueInTheRanking],StandardName[StandardizedName],QS_Webometrics[[#This Row],[Nazwa uczelni]],StandardName[Ranking],$U$1)=0,$N$3,SUMIFS(StandardName[RankValueInTheRanking],StandardName[StandardizedName],QS_Webometrics[[#This Row],[Nazwa uczelni]],StandardName[Ranking],$U$1))</f>
        <v>11</v>
      </c>
      <c r="V628" s="2">
        <f>IF(SUMIFS(StandardName[RankValueInTheRanking],StandardName[StandardizedName],QS_Webometrics[[#This Row],[Nazwa uczelni]],StandardName[Ranking],$V$1)=0,$N$3,SUMIFS(StandardName[RankValueInTheRanking],StandardName[StandardizedName],QS_Webometrics[[#This Row],[Nazwa uczelni]],StandardName[Ranking],$V$1))</f>
        <v>20</v>
      </c>
      <c r="W628" s="2">
        <f>IF(SUMIFS(StandardName[RankValueInTheRanking],StandardName[StandardizedName],QS_Webometrics[[#This Row],[Nazwa uczelni]],StandardName[Ranking],$W$1)=0,$N$3,SUMIFS(StandardName[RankValueInTheRanking],StandardName[StandardizedName],QS_Webometrics[[#This Row],[Nazwa uczelni]],StandardName[Ranking],$W$1))</f>
        <v>9</v>
      </c>
      <c r="X628" s="2">
        <f>IF(SUMIFS(StandardName[RankValueInTheRanking],StandardName[StandardizedName],QS_Webometrics[[#This Row],[Nazwa uczelni]],StandardName[Ranking],$X$1)=0,$N$3,SUMIFS(StandardName[RankValueInTheRanking],StandardName[StandardizedName],QS_Webometrics[[#This Row],[Nazwa uczelni]],StandardName[Ranking],$X$1))</f>
        <v>30</v>
      </c>
      <c r="Y628" s="2">
        <f>SUM(QS_Webometrics[[#This Row],[THE_RV1000]:[Webometrics_RV1000]])</f>
        <v>70</v>
      </c>
      <c r="Z628" s="1">
        <v>11</v>
      </c>
      <c r="AA628" s="1">
        <v>20</v>
      </c>
      <c r="AB628" s="1">
        <v>9</v>
      </c>
      <c r="AC628" s="1">
        <v>30</v>
      </c>
    </row>
    <row r="629" spans="15:29" outlineLevel="1" x14ac:dyDescent="0.45">
      <c r="O629" s="2" t="s">
        <v>54</v>
      </c>
      <c r="P629" s="2">
        <v>1</v>
      </c>
      <c r="Q629" s="2">
        <v>1</v>
      </c>
      <c r="R629" s="2">
        <v>1</v>
      </c>
      <c r="S629" s="2">
        <v>1</v>
      </c>
      <c r="T629" s="2">
        <v>4</v>
      </c>
      <c r="U629" s="2">
        <f>IF(SUMIFS(StandardName[RankValueInTheRanking],StandardName[StandardizedName],QS_Webometrics[[#This Row],[Nazwa uczelni]],StandardName[Ranking],$U$1)=0,$N$3,SUMIFS(StandardName[RankValueInTheRanking],StandardName[StandardizedName],QS_Webometrics[[#This Row],[Nazwa uczelni]],StandardName[Ranking],$U$1))</f>
        <v>10</v>
      </c>
      <c r="V629" s="2">
        <f>IF(SUMIFS(StandardName[RankValueInTheRanking],StandardName[StandardizedName],QS_Webometrics[[#This Row],[Nazwa uczelni]],StandardName[Ranking],$V$1)=0,$N$3,SUMIFS(StandardName[RankValueInTheRanking],StandardName[StandardizedName],QS_Webometrics[[#This Row],[Nazwa uczelni]],StandardName[Ranking],$V$1))</f>
        <v>23</v>
      </c>
      <c r="W629" s="2">
        <f>IF(SUMIFS(StandardName[RankValueInTheRanking],StandardName[StandardizedName],QS_Webometrics[[#This Row],[Nazwa uczelni]],StandardName[Ranking],$W$1)=0,$N$3,SUMIFS(StandardName[RankValueInTheRanking],StandardName[StandardizedName],QS_Webometrics[[#This Row],[Nazwa uczelni]],StandardName[Ranking],$W$1))</f>
        <v>6</v>
      </c>
      <c r="X629" s="2">
        <f>IF(SUMIFS(StandardName[RankValueInTheRanking],StandardName[StandardizedName],QS_Webometrics[[#This Row],[Nazwa uczelni]],StandardName[Ranking],$X$1)=0,$N$3,SUMIFS(StandardName[RankValueInTheRanking],StandardName[StandardizedName],QS_Webometrics[[#This Row],[Nazwa uczelni]],StandardName[Ranking],$X$1))</f>
        <v>35</v>
      </c>
      <c r="Y629" s="2">
        <f>SUM(QS_Webometrics[[#This Row],[THE_RV1000]:[Webometrics_RV1000]])</f>
        <v>74</v>
      </c>
      <c r="Z629" s="2">
        <v>10</v>
      </c>
      <c r="AA629" s="2">
        <v>23</v>
      </c>
      <c r="AB629" s="2">
        <v>6</v>
      </c>
      <c r="AC629" s="2">
        <v>35</v>
      </c>
    </row>
    <row r="630" spans="15:29" outlineLevel="1" x14ac:dyDescent="0.45">
      <c r="O630" s="1" t="s">
        <v>31</v>
      </c>
      <c r="P630" s="1">
        <v>1</v>
      </c>
      <c r="Q630" s="1">
        <v>1</v>
      </c>
      <c r="R630" s="1">
        <v>1</v>
      </c>
      <c r="S630" s="1">
        <v>1</v>
      </c>
      <c r="T630" s="1">
        <v>4</v>
      </c>
      <c r="U630" s="2">
        <f>IF(SUMIFS(StandardName[RankValueInTheRanking],StandardName[StandardizedName],QS_Webometrics[[#This Row],[Nazwa uczelni]],StandardName[Ranking],$U$1)=0,$N$3,SUMIFS(StandardName[RankValueInTheRanking],StandardName[StandardizedName],QS_Webometrics[[#This Row],[Nazwa uczelni]],StandardName[Ranking],$U$1))</f>
        <v>6</v>
      </c>
      <c r="V630" s="2">
        <f>IF(SUMIFS(StandardName[RankValueInTheRanking],StandardName[StandardizedName],QS_Webometrics[[#This Row],[Nazwa uczelni]],StandardName[Ranking],$V$1)=0,$N$3,SUMIFS(StandardName[RankValueInTheRanking],StandardName[StandardizedName],QS_Webometrics[[#This Row],[Nazwa uczelni]],StandardName[Ranking],$V$1))</f>
        <v>9</v>
      </c>
      <c r="W630" s="2">
        <f>IF(SUMIFS(StandardName[RankValueInTheRanking],StandardName[StandardizedName],QS_Webometrics[[#This Row],[Nazwa uczelni]],StandardName[Ranking],$W$1)=0,$N$3,SUMIFS(StandardName[RankValueInTheRanking],StandardName[StandardizedName],QS_Webometrics[[#This Row],[Nazwa uczelni]],StandardName[Ranking],$W$1))</f>
        <v>6</v>
      </c>
      <c r="X630" s="2">
        <f>IF(SUMIFS(StandardName[RankValueInTheRanking],StandardName[StandardizedName],QS_Webometrics[[#This Row],[Nazwa uczelni]],StandardName[Ranking],$X$1)=0,$N$3,SUMIFS(StandardName[RankValueInTheRanking],StandardName[StandardizedName],QS_Webometrics[[#This Row],[Nazwa uczelni]],StandardName[Ranking],$X$1))</f>
        <v>59</v>
      </c>
      <c r="Y630" s="2">
        <f>SUM(QS_Webometrics[[#This Row],[THE_RV1000]:[Webometrics_RV1000]])</f>
        <v>80</v>
      </c>
      <c r="Z630" s="1">
        <v>6</v>
      </c>
      <c r="AA630" s="1">
        <v>9</v>
      </c>
      <c r="AB630" s="1">
        <v>6</v>
      </c>
      <c r="AC630" s="1">
        <v>59</v>
      </c>
    </row>
    <row r="631" spans="15:29" outlineLevel="1" x14ac:dyDescent="0.45">
      <c r="O631" s="2" t="s">
        <v>89</v>
      </c>
      <c r="P631" s="2">
        <v>1</v>
      </c>
      <c r="Q631" s="2">
        <v>1</v>
      </c>
      <c r="R631" s="2">
        <v>1</v>
      </c>
      <c r="S631" s="2">
        <v>1</v>
      </c>
      <c r="T631" s="2">
        <v>4</v>
      </c>
      <c r="U631" s="2">
        <f>IF(SUMIFS(StandardName[RankValueInTheRanking],StandardName[StandardizedName],QS_Webometrics[[#This Row],[Nazwa uczelni]],StandardName[Ranking],$U$1)=0,$N$3,SUMIFS(StandardName[RankValueInTheRanking],StandardName[StandardizedName],QS_Webometrics[[#This Row],[Nazwa uczelni]],StandardName[Ranking],$U$1))</f>
        <v>16</v>
      </c>
      <c r="V631" s="2">
        <f>IF(SUMIFS(StandardName[RankValueInTheRanking],StandardName[StandardizedName],QS_Webometrics[[#This Row],[Nazwa uczelni]],StandardName[Ranking],$V$1)=0,$N$3,SUMIFS(StandardName[RankValueInTheRanking],StandardName[StandardizedName],QS_Webometrics[[#This Row],[Nazwa uczelni]],StandardName[Ranking],$V$1))</f>
        <v>26</v>
      </c>
      <c r="W631" s="2">
        <f>IF(SUMIFS(StandardName[RankValueInTheRanking],StandardName[StandardizedName],QS_Webometrics[[#This Row],[Nazwa uczelni]],StandardName[Ranking],$W$1)=0,$N$3,SUMIFS(StandardName[RankValueInTheRanking],StandardName[StandardizedName],QS_Webometrics[[#This Row],[Nazwa uczelni]],StandardName[Ranking],$W$1))</f>
        <v>14</v>
      </c>
      <c r="X631" s="2">
        <f>IF(SUMIFS(StandardName[RankValueInTheRanking],StandardName[StandardizedName],QS_Webometrics[[#This Row],[Nazwa uczelni]],StandardName[Ranking],$X$1)=0,$N$3,SUMIFS(StandardName[RankValueInTheRanking],StandardName[StandardizedName],QS_Webometrics[[#This Row],[Nazwa uczelni]],StandardName[Ranking],$X$1))</f>
        <v>24</v>
      </c>
      <c r="Y631" s="2">
        <f>SUM(QS_Webometrics[[#This Row],[THE_RV1000]:[Webometrics_RV1000]])</f>
        <v>80</v>
      </c>
      <c r="Z631" s="2">
        <v>16</v>
      </c>
      <c r="AA631" s="2">
        <v>26</v>
      </c>
      <c r="AB631" s="2">
        <v>14</v>
      </c>
      <c r="AC631" s="2">
        <v>24</v>
      </c>
    </row>
    <row r="632" spans="15:29" outlineLevel="1" x14ac:dyDescent="0.45">
      <c r="O632" s="1" t="s">
        <v>133</v>
      </c>
      <c r="P632" s="1">
        <v>1</v>
      </c>
      <c r="Q632" s="1">
        <v>1</v>
      </c>
      <c r="R632" s="1">
        <v>1</v>
      </c>
      <c r="S632" s="1">
        <v>1</v>
      </c>
      <c r="T632" s="1">
        <v>4</v>
      </c>
      <c r="U632" s="2">
        <f>IF(SUMIFS(StandardName[RankValueInTheRanking],StandardName[StandardizedName],QS_Webometrics[[#This Row],[Nazwa uczelni]],StandardName[Ranking],$U$1)=0,$N$3,SUMIFS(StandardName[RankValueInTheRanking],StandardName[StandardizedName],QS_Webometrics[[#This Row],[Nazwa uczelni]],StandardName[Ranking],$U$1))</f>
        <v>23</v>
      </c>
      <c r="V632" s="2">
        <f>IF(SUMIFS(StandardName[RankValueInTheRanking],StandardName[StandardizedName],QS_Webometrics[[#This Row],[Nazwa uczelni]],StandardName[Ranking],$V$1)=0,$N$3,SUMIFS(StandardName[RankValueInTheRanking],StandardName[StandardizedName],QS_Webometrics[[#This Row],[Nazwa uczelni]],StandardName[Ranking],$V$1))</f>
        <v>28</v>
      </c>
      <c r="W632" s="2">
        <f>IF(SUMIFS(StandardName[RankValueInTheRanking],StandardName[StandardizedName],QS_Webometrics[[#This Row],[Nazwa uczelni]],StandardName[Ranking],$W$1)=0,$N$3,SUMIFS(StandardName[RankValueInTheRanking],StandardName[StandardizedName],QS_Webometrics[[#This Row],[Nazwa uczelni]],StandardName[Ranking],$W$1))</f>
        <v>25</v>
      </c>
      <c r="X632" s="2">
        <f>IF(SUMIFS(StandardName[RankValueInTheRanking],StandardName[StandardizedName],QS_Webometrics[[#This Row],[Nazwa uczelni]],StandardName[Ranking],$X$1)=0,$N$3,SUMIFS(StandardName[RankValueInTheRanking],StandardName[StandardizedName],QS_Webometrics[[#This Row],[Nazwa uczelni]],StandardName[Ranking],$X$1))</f>
        <v>6</v>
      </c>
      <c r="Y632" s="2">
        <f>SUM(QS_Webometrics[[#This Row],[THE_RV1000]:[Webometrics_RV1000]])</f>
        <v>82</v>
      </c>
      <c r="Z632" s="1">
        <v>23</v>
      </c>
      <c r="AA632" s="1">
        <v>28</v>
      </c>
      <c r="AB632" s="1">
        <v>25</v>
      </c>
      <c r="AC632" s="1">
        <v>6</v>
      </c>
    </row>
    <row r="633" spans="15:29" outlineLevel="1" x14ac:dyDescent="0.45">
      <c r="O633" s="2" t="s">
        <v>102</v>
      </c>
      <c r="P633" s="2">
        <v>1</v>
      </c>
      <c r="Q633" s="2">
        <v>1</v>
      </c>
      <c r="R633" s="2">
        <v>1</v>
      </c>
      <c r="S633" s="2">
        <v>1</v>
      </c>
      <c r="T633" s="2">
        <v>4</v>
      </c>
      <c r="U633" s="2">
        <f>IF(SUMIFS(StandardName[RankValueInTheRanking],StandardName[StandardizedName],QS_Webometrics[[#This Row],[Nazwa uczelni]],StandardName[Ranking],$U$1)=0,$N$3,SUMIFS(StandardName[RankValueInTheRanking],StandardName[StandardizedName],QS_Webometrics[[#This Row],[Nazwa uczelni]],StandardName[Ranking],$U$1))</f>
        <v>18</v>
      </c>
      <c r="V633" s="2">
        <f>IF(SUMIFS(StandardName[RankValueInTheRanking],StandardName[StandardizedName],QS_Webometrics[[#This Row],[Nazwa uczelni]],StandardName[Ranking],$V$1)=0,$N$3,SUMIFS(StandardName[RankValueInTheRanking],StandardName[StandardizedName],QS_Webometrics[[#This Row],[Nazwa uczelni]],StandardName[Ranking],$V$1))</f>
        <v>22</v>
      </c>
      <c r="W633" s="2">
        <f>IF(SUMIFS(StandardName[RankValueInTheRanking],StandardName[StandardizedName],QS_Webometrics[[#This Row],[Nazwa uczelni]],StandardName[Ranking],$W$1)=0,$N$3,SUMIFS(StandardName[RankValueInTheRanking],StandardName[StandardizedName],QS_Webometrics[[#This Row],[Nazwa uczelni]],StandardName[Ranking],$W$1))</f>
        <v>34</v>
      </c>
      <c r="X633" s="2">
        <f>IF(SUMIFS(StandardName[RankValueInTheRanking],StandardName[StandardizedName],QS_Webometrics[[#This Row],[Nazwa uczelni]],StandardName[Ranking],$X$1)=0,$N$3,SUMIFS(StandardName[RankValueInTheRanking],StandardName[StandardizedName],QS_Webometrics[[#This Row],[Nazwa uczelni]],StandardName[Ranking],$X$1))</f>
        <v>16</v>
      </c>
      <c r="Y633" s="2">
        <f>SUM(QS_Webometrics[[#This Row],[THE_RV1000]:[Webometrics_RV1000]])</f>
        <v>90</v>
      </c>
      <c r="Z633" s="2">
        <v>18</v>
      </c>
      <c r="AA633" s="2">
        <v>22</v>
      </c>
      <c r="AB633" s="2">
        <v>34</v>
      </c>
      <c r="AC633" s="2">
        <v>16</v>
      </c>
    </row>
    <row r="634" spans="15:29" outlineLevel="1" x14ac:dyDescent="0.45">
      <c r="O634" s="1" t="s">
        <v>795</v>
      </c>
      <c r="P634" s="1">
        <v>1</v>
      </c>
      <c r="Q634" s="1">
        <v>1</v>
      </c>
      <c r="R634" s="1">
        <v>1</v>
      </c>
      <c r="S634" s="1">
        <v>1</v>
      </c>
      <c r="T634" s="1">
        <v>4</v>
      </c>
      <c r="U634" s="2">
        <f>IF(SUMIFS(StandardName[RankValueInTheRanking],StandardName[StandardizedName],QS_Webometrics[[#This Row],[Nazwa uczelni]],StandardName[Ranking],$U$1)=0,$N$3,SUMIFS(StandardName[RankValueInTheRanking],StandardName[StandardizedName],QS_Webometrics[[#This Row],[Nazwa uczelni]],StandardName[Ranking],$U$1))</f>
        <v>21</v>
      </c>
      <c r="V634" s="2">
        <f>IF(SUMIFS(StandardName[RankValueInTheRanking],StandardName[StandardizedName],QS_Webometrics[[#This Row],[Nazwa uczelni]],StandardName[Ranking],$V$1)=0,$N$3,SUMIFS(StandardName[RankValueInTheRanking],StandardName[StandardizedName],QS_Webometrics[[#This Row],[Nazwa uczelni]],StandardName[Ranking],$V$1))</f>
        <v>13</v>
      </c>
      <c r="W634" s="2">
        <f>IF(SUMIFS(StandardName[RankValueInTheRanking],StandardName[StandardizedName],QS_Webometrics[[#This Row],[Nazwa uczelni]],StandardName[Ranking],$W$1)=0,$N$3,SUMIFS(StandardName[RankValueInTheRanking],StandardName[StandardizedName],QS_Webometrics[[#This Row],[Nazwa uczelni]],StandardName[Ranking],$W$1))</f>
        <v>44</v>
      </c>
      <c r="X634" s="2">
        <f>IF(SUMIFS(StandardName[RankValueInTheRanking],StandardName[StandardizedName],QS_Webometrics[[#This Row],[Nazwa uczelni]],StandardName[Ranking],$X$1)=0,$N$3,SUMIFS(StandardName[RankValueInTheRanking],StandardName[StandardizedName],QS_Webometrics[[#This Row],[Nazwa uczelni]],StandardName[Ranking],$X$1))</f>
        <v>13</v>
      </c>
      <c r="Y634" s="2">
        <f>SUM(QS_Webometrics[[#This Row],[THE_RV1000]:[Webometrics_RV1000]])</f>
        <v>91</v>
      </c>
      <c r="Z634" s="1">
        <v>21</v>
      </c>
      <c r="AA634" s="1">
        <v>13</v>
      </c>
      <c r="AB634" s="1">
        <v>44</v>
      </c>
      <c r="AC634" s="1">
        <v>13</v>
      </c>
    </row>
    <row r="635" spans="15:29" outlineLevel="1" x14ac:dyDescent="0.45">
      <c r="O635" s="2" t="s">
        <v>97</v>
      </c>
      <c r="P635" s="2">
        <v>1</v>
      </c>
      <c r="Q635" s="2">
        <v>1</v>
      </c>
      <c r="R635" s="2">
        <v>1</v>
      </c>
      <c r="S635" s="2">
        <v>1</v>
      </c>
      <c r="T635" s="2">
        <v>4</v>
      </c>
      <c r="U635" s="2">
        <f>IF(SUMIFS(StandardName[RankValueInTheRanking],StandardName[StandardizedName],QS_Webometrics[[#This Row],[Nazwa uczelni]],StandardName[Ranking],$U$1)=0,$N$3,SUMIFS(StandardName[RankValueInTheRanking],StandardName[StandardizedName],QS_Webometrics[[#This Row],[Nazwa uczelni]],StandardName[Ranking],$U$1))</f>
        <v>17</v>
      </c>
      <c r="V635" s="2">
        <f>IF(SUMIFS(StandardName[RankValueInTheRanking],StandardName[StandardizedName],QS_Webometrics[[#This Row],[Nazwa uczelni]],StandardName[Ranking],$V$1)=0,$N$3,SUMIFS(StandardName[RankValueInTheRanking],StandardName[StandardizedName],QS_Webometrics[[#This Row],[Nazwa uczelni]],StandardName[Ranking],$V$1))</f>
        <v>34</v>
      </c>
      <c r="W635" s="2">
        <f>IF(SUMIFS(StandardName[RankValueInTheRanking],StandardName[StandardizedName],QS_Webometrics[[#This Row],[Nazwa uczelni]],StandardName[Ranking],$W$1)=0,$N$3,SUMIFS(StandardName[RankValueInTheRanking],StandardName[StandardizedName],QS_Webometrics[[#This Row],[Nazwa uczelni]],StandardName[Ranking],$W$1))</f>
        <v>12</v>
      </c>
      <c r="X635" s="2">
        <f>IF(SUMIFS(StandardName[RankValueInTheRanking],StandardName[StandardizedName],QS_Webometrics[[#This Row],[Nazwa uczelni]],StandardName[Ranking],$X$1)=0,$N$3,SUMIFS(StandardName[RankValueInTheRanking],StandardName[StandardizedName],QS_Webometrics[[#This Row],[Nazwa uczelni]],StandardName[Ranking],$X$1))</f>
        <v>32</v>
      </c>
      <c r="Y635" s="2">
        <f>SUM(QS_Webometrics[[#This Row],[THE_RV1000]:[Webometrics_RV1000]])</f>
        <v>95</v>
      </c>
      <c r="Z635" s="2">
        <v>17</v>
      </c>
      <c r="AA635" s="2">
        <v>34</v>
      </c>
      <c r="AB635" s="2">
        <v>12</v>
      </c>
      <c r="AC635" s="2">
        <v>32</v>
      </c>
    </row>
    <row r="636" spans="15:29" outlineLevel="1" x14ac:dyDescent="0.45">
      <c r="O636" s="1" t="s">
        <v>151</v>
      </c>
      <c r="P636" s="1">
        <v>1</v>
      </c>
      <c r="Q636" s="1">
        <v>1</v>
      </c>
      <c r="R636" s="1">
        <v>1</v>
      </c>
      <c r="S636" s="1">
        <v>1</v>
      </c>
      <c r="T636" s="1">
        <v>4</v>
      </c>
      <c r="U636" s="2">
        <f>IF(SUMIFS(StandardName[RankValueInTheRanking],StandardName[StandardizedName],QS_Webometrics[[#This Row],[Nazwa uczelni]],StandardName[Ranking],$U$1)=0,$N$3,SUMIFS(StandardName[RankValueInTheRanking],StandardName[StandardizedName],QS_Webometrics[[#This Row],[Nazwa uczelni]],StandardName[Ranking],$U$1))</f>
        <v>26</v>
      </c>
      <c r="V636" s="2">
        <f>IF(SUMIFS(StandardName[RankValueInTheRanking],StandardName[StandardizedName],QS_Webometrics[[#This Row],[Nazwa uczelni]],StandardName[Ranking],$V$1)=0,$N$3,SUMIFS(StandardName[RankValueInTheRanking],StandardName[StandardizedName],QS_Webometrics[[#This Row],[Nazwa uczelni]],StandardName[Ranking],$V$1))</f>
        <v>30</v>
      </c>
      <c r="W636" s="2">
        <f>IF(SUMIFS(StandardName[RankValueInTheRanking],StandardName[StandardizedName],QS_Webometrics[[#This Row],[Nazwa uczelni]],StandardName[Ranking],$W$1)=0,$N$3,SUMIFS(StandardName[RankValueInTheRanking],StandardName[StandardizedName],QS_Webometrics[[#This Row],[Nazwa uczelni]],StandardName[Ranking],$W$1))</f>
        <v>32</v>
      </c>
      <c r="X636" s="2">
        <f>IF(SUMIFS(StandardName[RankValueInTheRanking],StandardName[StandardizedName],QS_Webometrics[[#This Row],[Nazwa uczelni]],StandardName[Ranking],$X$1)=0,$N$3,SUMIFS(StandardName[RankValueInTheRanking],StandardName[StandardizedName],QS_Webometrics[[#This Row],[Nazwa uczelni]],StandardName[Ranking],$X$1))</f>
        <v>22</v>
      </c>
      <c r="Y636" s="2">
        <f>SUM(QS_Webometrics[[#This Row],[THE_RV1000]:[Webometrics_RV1000]])</f>
        <v>110</v>
      </c>
      <c r="Z636" s="1">
        <v>26</v>
      </c>
      <c r="AA636" s="1">
        <v>30</v>
      </c>
      <c r="AB636" s="1">
        <v>32</v>
      </c>
      <c r="AC636" s="1">
        <v>22</v>
      </c>
    </row>
    <row r="637" spans="15:29" outlineLevel="1" x14ac:dyDescent="0.45">
      <c r="O637" s="2" t="s">
        <v>139</v>
      </c>
      <c r="P637" s="2">
        <v>1</v>
      </c>
      <c r="Q637" s="2">
        <v>1</v>
      </c>
      <c r="R637" s="2">
        <v>1</v>
      </c>
      <c r="S637" s="2">
        <v>1</v>
      </c>
      <c r="T637" s="2">
        <v>4</v>
      </c>
      <c r="U637" s="2">
        <f>IF(SUMIFS(StandardName[RankValueInTheRanking],StandardName[StandardizedName],QS_Webometrics[[#This Row],[Nazwa uczelni]],StandardName[Ranking],$U$1)=0,$N$3,SUMIFS(StandardName[RankValueInTheRanking],StandardName[StandardizedName],QS_Webometrics[[#This Row],[Nazwa uczelni]],StandardName[Ranking],$U$1))</f>
        <v>24</v>
      </c>
      <c r="V637" s="2">
        <f>IF(SUMIFS(StandardName[RankValueInTheRanking],StandardName[StandardizedName],QS_Webometrics[[#This Row],[Nazwa uczelni]],StandardName[Ranking],$V$1)=0,$N$3,SUMIFS(StandardName[RankValueInTheRanking],StandardName[StandardizedName],QS_Webometrics[[#This Row],[Nazwa uczelni]],StandardName[Ranking],$V$1))</f>
        <v>25</v>
      </c>
      <c r="W637" s="2">
        <f>IF(SUMIFS(StandardName[RankValueInTheRanking],StandardName[StandardizedName],QS_Webometrics[[#This Row],[Nazwa uczelni]],StandardName[Ranking],$W$1)=0,$N$3,SUMIFS(StandardName[RankValueInTheRanking],StandardName[StandardizedName],QS_Webometrics[[#This Row],[Nazwa uczelni]],StandardName[Ranking],$W$1))</f>
        <v>39</v>
      </c>
      <c r="X637" s="2">
        <f>IF(SUMIFS(StandardName[RankValueInTheRanking],StandardName[StandardizedName],QS_Webometrics[[#This Row],[Nazwa uczelni]],StandardName[Ranking],$X$1)=0,$N$3,SUMIFS(StandardName[RankValueInTheRanking],StandardName[StandardizedName],QS_Webometrics[[#This Row],[Nazwa uczelni]],StandardName[Ranking],$X$1))</f>
        <v>23</v>
      </c>
      <c r="Y637" s="2">
        <f>SUM(QS_Webometrics[[#This Row],[THE_RV1000]:[Webometrics_RV1000]])</f>
        <v>111</v>
      </c>
      <c r="Z637" s="2">
        <v>24</v>
      </c>
      <c r="AA637" s="2">
        <v>25</v>
      </c>
      <c r="AB637" s="2">
        <v>39</v>
      </c>
      <c r="AC637" s="2">
        <v>23</v>
      </c>
    </row>
    <row r="638" spans="15:29" outlineLevel="1" x14ac:dyDescent="0.45">
      <c r="O638" s="1" t="s">
        <v>797</v>
      </c>
      <c r="P638" s="1">
        <v>1</v>
      </c>
      <c r="Q638" s="1">
        <v>1</v>
      </c>
      <c r="R638" s="1">
        <v>1</v>
      </c>
      <c r="S638" s="1">
        <v>1</v>
      </c>
      <c r="T638" s="1">
        <v>4</v>
      </c>
      <c r="U638" s="2">
        <f>IF(SUMIFS(StandardName[RankValueInTheRanking],StandardName[StandardizedName],QS_Webometrics[[#This Row],[Nazwa uczelni]],StandardName[Ranking],$U$1)=0,$N$3,SUMIFS(StandardName[RankValueInTheRanking],StandardName[StandardizedName],QS_Webometrics[[#This Row],[Nazwa uczelni]],StandardName[Ranking],$U$1))</f>
        <v>32</v>
      </c>
      <c r="V638" s="2">
        <f>IF(SUMIFS(StandardName[RankValueInTheRanking],StandardName[StandardizedName],QS_Webometrics[[#This Row],[Nazwa uczelni]],StandardName[Ranking],$V$1)=0,$N$3,SUMIFS(StandardName[RankValueInTheRanking],StandardName[StandardizedName],QS_Webometrics[[#This Row],[Nazwa uczelni]],StandardName[Ranking],$V$1))</f>
        <v>21</v>
      </c>
      <c r="W638" s="2">
        <f>IF(SUMIFS(StandardName[RankValueInTheRanking],StandardName[StandardizedName],QS_Webometrics[[#This Row],[Nazwa uczelni]],StandardName[Ranking],$W$1)=0,$N$3,SUMIFS(StandardName[RankValueInTheRanking],StandardName[StandardizedName],QS_Webometrics[[#This Row],[Nazwa uczelni]],StandardName[Ranking],$W$1))</f>
        <v>53</v>
      </c>
      <c r="X638" s="2">
        <f>IF(SUMIFS(StandardName[RankValueInTheRanking],StandardName[StandardizedName],QS_Webometrics[[#This Row],[Nazwa uczelni]],StandardName[Ranking],$X$1)=0,$N$3,SUMIFS(StandardName[RankValueInTheRanking],StandardName[StandardizedName],QS_Webometrics[[#This Row],[Nazwa uczelni]],StandardName[Ranking],$X$1))</f>
        <v>17</v>
      </c>
      <c r="Y638" s="2">
        <f>SUM(QS_Webometrics[[#This Row],[THE_RV1000]:[Webometrics_RV1000]])</f>
        <v>123</v>
      </c>
      <c r="Z638" s="1">
        <v>32</v>
      </c>
      <c r="AA638" s="1">
        <v>21</v>
      </c>
      <c r="AB638" s="1">
        <v>53</v>
      </c>
      <c r="AC638" s="1">
        <v>17</v>
      </c>
    </row>
    <row r="639" spans="15:29" outlineLevel="1" x14ac:dyDescent="0.45">
      <c r="O639" s="2" t="s">
        <v>169</v>
      </c>
      <c r="P639" s="2">
        <v>1</v>
      </c>
      <c r="Q639" s="2">
        <v>1</v>
      </c>
      <c r="R639" s="2">
        <v>1</v>
      </c>
      <c r="S639" s="2">
        <v>1</v>
      </c>
      <c r="T639" s="2">
        <v>4</v>
      </c>
      <c r="U639" s="2">
        <f>IF(SUMIFS(StandardName[RankValueInTheRanking],StandardName[StandardizedName],QS_Webometrics[[#This Row],[Nazwa uczelni]],StandardName[Ranking],$U$1)=0,$N$3,SUMIFS(StandardName[RankValueInTheRanking],StandardName[StandardizedName],QS_Webometrics[[#This Row],[Nazwa uczelni]],StandardName[Ranking],$U$1))</f>
        <v>29</v>
      </c>
      <c r="V639" s="2">
        <f>IF(SUMIFS(StandardName[RankValueInTheRanking],StandardName[StandardizedName],QS_Webometrics[[#This Row],[Nazwa uczelni]],StandardName[Ranking],$V$1)=0,$N$3,SUMIFS(StandardName[RankValueInTheRanking],StandardName[StandardizedName],QS_Webometrics[[#This Row],[Nazwa uczelni]],StandardName[Ranking],$V$1))</f>
        <v>35</v>
      </c>
      <c r="W639" s="2">
        <f>IF(SUMIFS(StandardName[RankValueInTheRanking],StandardName[StandardizedName],QS_Webometrics[[#This Row],[Nazwa uczelni]],StandardName[Ranking],$W$1)=0,$N$3,SUMIFS(StandardName[RankValueInTheRanking],StandardName[StandardizedName],QS_Webometrics[[#This Row],[Nazwa uczelni]],StandardName[Ranking],$W$1))</f>
        <v>15</v>
      </c>
      <c r="X639" s="2">
        <f>IF(SUMIFS(StandardName[RankValueInTheRanking],StandardName[StandardizedName],QS_Webometrics[[#This Row],[Nazwa uczelni]],StandardName[Ranking],$X$1)=0,$N$3,SUMIFS(StandardName[RankValueInTheRanking],StandardName[StandardizedName],QS_Webometrics[[#This Row],[Nazwa uczelni]],StandardName[Ranking],$X$1))</f>
        <v>44</v>
      </c>
      <c r="Y639" s="2">
        <f>SUM(QS_Webometrics[[#This Row],[THE_RV1000]:[Webometrics_RV1000]])</f>
        <v>123</v>
      </c>
      <c r="Z639" s="2">
        <v>29</v>
      </c>
      <c r="AA639" s="2">
        <v>35</v>
      </c>
      <c r="AB639" s="2">
        <v>15</v>
      </c>
      <c r="AC639" s="2">
        <v>44</v>
      </c>
    </row>
    <row r="640" spans="15:29" outlineLevel="1" x14ac:dyDescent="0.45">
      <c r="O640" s="1" t="s">
        <v>145</v>
      </c>
      <c r="P640" s="1">
        <v>1</v>
      </c>
      <c r="Q640" s="1">
        <v>1</v>
      </c>
      <c r="R640" s="1">
        <v>1</v>
      </c>
      <c r="S640" s="1">
        <v>1</v>
      </c>
      <c r="T640" s="1">
        <v>4</v>
      </c>
      <c r="U640" s="2">
        <f>IF(SUMIFS(StandardName[RankValueInTheRanking],StandardName[StandardizedName],QS_Webometrics[[#This Row],[Nazwa uczelni]],StandardName[Ranking],$U$1)=0,$N$3,SUMIFS(StandardName[RankValueInTheRanking],StandardName[StandardizedName],QS_Webometrics[[#This Row],[Nazwa uczelni]],StandardName[Ranking],$U$1))</f>
        <v>25</v>
      </c>
      <c r="V640" s="2">
        <f>IF(SUMIFS(StandardName[RankValueInTheRanking],StandardName[StandardizedName],QS_Webometrics[[#This Row],[Nazwa uczelni]],StandardName[Ranking],$V$1)=0,$N$3,SUMIFS(StandardName[RankValueInTheRanking],StandardName[StandardizedName],QS_Webometrics[[#This Row],[Nazwa uczelni]],StandardName[Ranking],$V$1))</f>
        <v>31</v>
      </c>
      <c r="W640" s="2">
        <f>IF(SUMIFS(StandardName[RankValueInTheRanking],StandardName[StandardizedName],QS_Webometrics[[#This Row],[Nazwa uczelni]],StandardName[Ranking],$W$1)=0,$N$3,SUMIFS(StandardName[RankValueInTheRanking],StandardName[StandardizedName],QS_Webometrics[[#This Row],[Nazwa uczelni]],StandardName[Ranking],$W$1))</f>
        <v>50</v>
      </c>
      <c r="X640" s="2">
        <f>IF(SUMIFS(StandardName[RankValueInTheRanking],StandardName[StandardizedName],QS_Webometrics[[#This Row],[Nazwa uczelni]],StandardName[Ranking],$X$1)=0,$N$3,SUMIFS(StandardName[RankValueInTheRanking],StandardName[StandardizedName],QS_Webometrics[[#This Row],[Nazwa uczelni]],StandardName[Ranking],$X$1))</f>
        <v>21</v>
      </c>
      <c r="Y640" s="2">
        <f>SUM(QS_Webometrics[[#This Row],[THE_RV1000]:[Webometrics_RV1000]])</f>
        <v>127</v>
      </c>
      <c r="Z640" s="1">
        <v>25</v>
      </c>
      <c r="AA640" s="1">
        <v>31</v>
      </c>
      <c r="AB640" s="1">
        <v>50</v>
      </c>
      <c r="AC640" s="1">
        <v>21</v>
      </c>
    </row>
    <row r="641" spans="15:29" outlineLevel="1" x14ac:dyDescent="0.45">
      <c r="O641" s="2" t="s">
        <v>157</v>
      </c>
      <c r="P641" s="2">
        <v>1</v>
      </c>
      <c r="Q641" s="2">
        <v>1</v>
      </c>
      <c r="R641" s="2">
        <v>1</v>
      </c>
      <c r="S641" s="2">
        <v>1</v>
      </c>
      <c r="T641" s="2">
        <v>4</v>
      </c>
      <c r="U641" s="2">
        <f>IF(SUMIFS(StandardName[RankValueInTheRanking],StandardName[StandardizedName],QS_Webometrics[[#This Row],[Nazwa uczelni]],StandardName[Ranking],$U$1)=0,$N$3,SUMIFS(StandardName[RankValueInTheRanking],StandardName[StandardizedName],QS_Webometrics[[#This Row],[Nazwa uczelni]],StandardName[Ranking],$U$1))</f>
        <v>26</v>
      </c>
      <c r="V641" s="2">
        <f>IF(SUMIFS(StandardName[RankValueInTheRanking],StandardName[StandardizedName],QS_Webometrics[[#This Row],[Nazwa uczelni]],StandardName[Ranking],$V$1)=0,$N$3,SUMIFS(StandardName[RankValueInTheRanking],StandardName[StandardizedName],QS_Webometrics[[#This Row],[Nazwa uczelni]],StandardName[Ranking],$V$1))</f>
        <v>17</v>
      </c>
      <c r="W641" s="2">
        <f>IF(SUMIFS(StandardName[RankValueInTheRanking],StandardName[StandardizedName],QS_Webometrics[[#This Row],[Nazwa uczelni]],StandardName[Ranking],$W$1)=0,$N$3,SUMIFS(StandardName[RankValueInTheRanking],StandardName[StandardizedName],QS_Webometrics[[#This Row],[Nazwa uczelni]],StandardName[Ranking],$W$1))</f>
        <v>80</v>
      </c>
      <c r="X641" s="2">
        <f>IF(SUMIFS(StandardName[RankValueInTheRanking],StandardName[StandardizedName],QS_Webometrics[[#This Row],[Nazwa uczelni]],StandardName[Ranking],$X$1)=0,$N$3,SUMIFS(StandardName[RankValueInTheRanking],StandardName[StandardizedName],QS_Webometrics[[#This Row],[Nazwa uczelni]],StandardName[Ranking],$X$1))</f>
        <v>7</v>
      </c>
      <c r="Y641" s="2">
        <f>SUM(QS_Webometrics[[#This Row],[THE_RV1000]:[Webometrics_RV1000]])</f>
        <v>130</v>
      </c>
      <c r="Z641" s="2">
        <v>26</v>
      </c>
      <c r="AA641" s="2">
        <v>17</v>
      </c>
      <c r="AB641" s="2">
        <v>80</v>
      </c>
      <c r="AC641" s="2">
        <v>7</v>
      </c>
    </row>
    <row r="642" spans="15:29" outlineLevel="1" x14ac:dyDescent="0.45">
      <c r="O642" s="1" t="s">
        <v>194</v>
      </c>
      <c r="P642" s="1">
        <v>1</v>
      </c>
      <c r="Q642" s="1">
        <v>1</v>
      </c>
      <c r="R642" s="1">
        <v>1</v>
      </c>
      <c r="S642" s="1">
        <v>1</v>
      </c>
      <c r="T642" s="1">
        <v>4</v>
      </c>
      <c r="U642" s="2">
        <f>IF(SUMIFS(StandardName[RankValueInTheRanking],StandardName[StandardizedName],QS_Webometrics[[#This Row],[Nazwa uczelni]],StandardName[Ranking],$U$1)=0,$N$3,SUMIFS(StandardName[RankValueInTheRanking],StandardName[StandardizedName],QS_Webometrics[[#This Row],[Nazwa uczelni]],StandardName[Ranking],$U$1))</f>
        <v>34</v>
      </c>
      <c r="V642" s="2">
        <f>IF(SUMIFS(StandardName[RankValueInTheRanking],StandardName[StandardizedName],QS_Webometrics[[#This Row],[Nazwa uczelni]],StandardName[Ranking],$V$1)=0,$N$3,SUMIFS(StandardName[RankValueInTheRanking],StandardName[StandardizedName],QS_Webometrics[[#This Row],[Nazwa uczelni]],StandardName[Ranking],$V$1))</f>
        <v>32</v>
      </c>
      <c r="W642" s="2">
        <f>IF(SUMIFS(StandardName[RankValueInTheRanking],StandardName[StandardizedName],QS_Webometrics[[#This Row],[Nazwa uczelni]],StandardName[Ranking],$W$1)=0,$N$3,SUMIFS(StandardName[RankValueInTheRanking],StandardName[StandardizedName],QS_Webometrics[[#This Row],[Nazwa uczelni]],StandardName[Ranking],$W$1))</f>
        <v>33</v>
      </c>
      <c r="X642" s="2">
        <f>IF(SUMIFS(StandardName[RankValueInTheRanking],StandardName[StandardizedName],QS_Webometrics[[#This Row],[Nazwa uczelni]],StandardName[Ranking],$X$1)=0,$N$3,SUMIFS(StandardName[RankValueInTheRanking],StandardName[StandardizedName],QS_Webometrics[[#This Row],[Nazwa uczelni]],StandardName[Ranking],$X$1))</f>
        <v>40</v>
      </c>
      <c r="Y642" s="2">
        <f>SUM(QS_Webometrics[[#This Row],[THE_RV1000]:[Webometrics_RV1000]])</f>
        <v>139</v>
      </c>
      <c r="Z642" s="1">
        <v>34</v>
      </c>
      <c r="AA642" s="1">
        <v>32</v>
      </c>
      <c r="AB642" s="1">
        <v>33</v>
      </c>
      <c r="AC642" s="1">
        <v>40</v>
      </c>
    </row>
    <row r="643" spans="15:29" outlineLevel="1" x14ac:dyDescent="0.45">
      <c r="O643" s="2" t="s">
        <v>110</v>
      </c>
      <c r="P643" s="2">
        <v>1</v>
      </c>
      <c r="Q643" s="2">
        <v>1</v>
      </c>
      <c r="R643" s="2">
        <v>1</v>
      </c>
      <c r="S643" s="2">
        <v>1</v>
      </c>
      <c r="T643" s="2">
        <v>4</v>
      </c>
      <c r="U643" s="2">
        <f>IF(SUMIFS(StandardName[RankValueInTheRanking],StandardName[StandardizedName],QS_Webometrics[[#This Row],[Nazwa uczelni]],StandardName[Ranking],$U$1)=0,$N$3,SUMIFS(StandardName[RankValueInTheRanking],StandardName[StandardizedName],QS_Webometrics[[#This Row],[Nazwa uczelni]],StandardName[Ranking],$U$1))</f>
        <v>19</v>
      </c>
      <c r="V643" s="2">
        <f>IF(SUMIFS(StandardName[RankValueInTheRanking],StandardName[StandardizedName],QS_Webometrics[[#This Row],[Nazwa uczelni]],StandardName[Ranking],$V$1)=0,$N$3,SUMIFS(StandardName[RankValueInTheRanking],StandardName[StandardizedName],QS_Webometrics[[#This Row],[Nazwa uczelni]],StandardName[Ranking],$V$1))</f>
        <v>71</v>
      </c>
      <c r="W643" s="2">
        <f>IF(SUMIFS(StandardName[RankValueInTheRanking],StandardName[StandardizedName],QS_Webometrics[[#This Row],[Nazwa uczelni]],StandardName[Ranking],$W$1)=0,$N$3,SUMIFS(StandardName[RankValueInTheRanking],StandardName[StandardizedName],QS_Webometrics[[#This Row],[Nazwa uczelni]],StandardName[Ranking],$W$1))</f>
        <v>11</v>
      </c>
      <c r="X643" s="2">
        <f>IF(SUMIFS(StandardName[RankValueInTheRanking],StandardName[StandardizedName],QS_Webometrics[[#This Row],[Nazwa uczelni]],StandardName[Ranking],$X$1)=0,$N$3,SUMIFS(StandardName[RankValueInTheRanking],StandardName[StandardizedName],QS_Webometrics[[#This Row],[Nazwa uczelni]],StandardName[Ranking],$X$1))</f>
        <v>47</v>
      </c>
      <c r="Y643" s="2">
        <f>SUM(QS_Webometrics[[#This Row],[THE_RV1000]:[Webometrics_RV1000]])</f>
        <v>148</v>
      </c>
      <c r="Z643" s="2">
        <v>19</v>
      </c>
      <c r="AA643" s="2">
        <v>71</v>
      </c>
      <c r="AB643" s="2">
        <v>11</v>
      </c>
      <c r="AC643" s="2">
        <v>47</v>
      </c>
    </row>
    <row r="644" spans="15:29" outlineLevel="1" x14ac:dyDescent="0.45">
      <c r="O644" s="1" t="s">
        <v>854</v>
      </c>
      <c r="P644" s="1">
        <v>1</v>
      </c>
      <c r="Q644" s="1">
        <v>1</v>
      </c>
      <c r="R644" s="1">
        <v>1</v>
      </c>
      <c r="S644" s="1">
        <v>1</v>
      </c>
      <c r="T644" s="1">
        <v>4</v>
      </c>
      <c r="U644" s="2">
        <f>IF(SUMIFS(StandardName[RankValueInTheRanking],StandardName[StandardizedName],QS_Webometrics[[#This Row],[Nazwa uczelni]],StandardName[Ranking],$U$1)=0,$N$3,SUMIFS(StandardName[RankValueInTheRanking],StandardName[StandardizedName],QS_Webometrics[[#This Row],[Nazwa uczelni]],StandardName[Ranking],$U$1))</f>
        <v>39</v>
      </c>
      <c r="V644" s="2">
        <f>IF(SUMIFS(StandardName[RankValueInTheRanking],StandardName[StandardizedName],QS_Webometrics[[#This Row],[Nazwa uczelni]],StandardName[Ranking],$V$1)=0,$N$3,SUMIFS(StandardName[RankValueInTheRanking],StandardName[StandardizedName],QS_Webometrics[[#This Row],[Nazwa uczelni]],StandardName[Ranking],$V$1))</f>
        <v>24</v>
      </c>
      <c r="W644" s="2">
        <f>IF(SUMIFS(StandardName[RankValueInTheRanking],StandardName[StandardizedName],QS_Webometrics[[#This Row],[Nazwa uczelni]],StandardName[Ranking],$W$1)=0,$N$3,SUMIFS(StandardName[RankValueInTheRanking],StandardName[StandardizedName],QS_Webometrics[[#This Row],[Nazwa uczelni]],StandardName[Ranking],$W$1))</f>
        <v>23</v>
      </c>
      <c r="X644" s="2">
        <f>IF(SUMIFS(StandardName[RankValueInTheRanking],StandardName[StandardizedName],QS_Webometrics[[#This Row],[Nazwa uczelni]],StandardName[Ranking],$X$1)=0,$N$3,SUMIFS(StandardName[RankValueInTheRanking],StandardName[StandardizedName],QS_Webometrics[[#This Row],[Nazwa uczelni]],StandardName[Ranking],$X$1))</f>
        <v>66</v>
      </c>
      <c r="Y644" s="2">
        <f>SUM(QS_Webometrics[[#This Row],[THE_RV1000]:[Webometrics_RV1000]])</f>
        <v>152</v>
      </c>
      <c r="Z644" s="1">
        <v>39</v>
      </c>
      <c r="AA644" s="1">
        <v>24</v>
      </c>
      <c r="AB644" s="1">
        <v>23</v>
      </c>
      <c r="AC644" s="1">
        <v>66</v>
      </c>
    </row>
    <row r="645" spans="15:29" outlineLevel="1" x14ac:dyDescent="0.45">
      <c r="O645" s="2" t="s">
        <v>225</v>
      </c>
      <c r="P645" s="2">
        <v>1</v>
      </c>
      <c r="Q645" s="2">
        <v>1</v>
      </c>
      <c r="R645" s="2">
        <v>1</v>
      </c>
      <c r="S645" s="2">
        <v>1</v>
      </c>
      <c r="T645" s="2">
        <v>4</v>
      </c>
      <c r="U645" s="2">
        <f>IF(SUMIFS(StandardName[RankValueInTheRanking],StandardName[StandardizedName],QS_Webometrics[[#This Row],[Nazwa uczelni]],StandardName[Ranking],$U$1)=0,$N$3,SUMIFS(StandardName[RankValueInTheRanking],StandardName[StandardizedName],QS_Webometrics[[#This Row],[Nazwa uczelni]],StandardName[Ranking],$U$1))</f>
        <v>40</v>
      </c>
      <c r="V645" s="2">
        <f>IF(SUMIFS(StandardName[RankValueInTheRanking],StandardName[StandardizedName],QS_Webometrics[[#This Row],[Nazwa uczelni]],StandardName[Ranking],$V$1)=0,$N$3,SUMIFS(StandardName[RankValueInTheRanking],StandardName[StandardizedName],QS_Webometrics[[#This Row],[Nazwa uczelni]],StandardName[Ranking],$V$1))</f>
        <v>44</v>
      </c>
      <c r="W645" s="2">
        <f>IF(SUMIFS(StandardName[RankValueInTheRanking],StandardName[StandardizedName],QS_Webometrics[[#This Row],[Nazwa uczelni]],StandardName[Ranking],$W$1)=0,$N$3,SUMIFS(StandardName[RankValueInTheRanking],StandardName[StandardizedName],QS_Webometrics[[#This Row],[Nazwa uczelni]],StandardName[Ranking],$W$1))</f>
        <v>47</v>
      </c>
      <c r="X645" s="2">
        <f>IF(SUMIFS(StandardName[RankValueInTheRanking],StandardName[StandardizedName],QS_Webometrics[[#This Row],[Nazwa uczelni]],StandardName[Ranking],$X$1)=0,$N$3,SUMIFS(StandardName[RankValueInTheRanking],StandardName[StandardizedName],QS_Webometrics[[#This Row],[Nazwa uczelni]],StandardName[Ranking],$X$1))</f>
        <v>27</v>
      </c>
      <c r="Y645" s="2">
        <f>SUM(QS_Webometrics[[#This Row],[THE_RV1000]:[Webometrics_RV1000]])</f>
        <v>158</v>
      </c>
      <c r="Z645" s="2">
        <v>40</v>
      </c>
      <c r="AA645" s="2">
        <v>44</v>
      </c>
      <c r="AB645" s="2">
        <v>47</v>
      </c>
      <c r="AC645" s="2">
        <v>27</v>
      </c>
    </row>
    <row r="646" spans="15:29" outlineLevel="1" x14ac:dyDescent="0.45">
      <c r="O646" s="1" t="s">
        <v>296</v>
      </c>
      <c r="P646" s="1">
        <v>1</v>
      </c>
      <c r="Q646" s="1">
        <v>1</v>
      </c>
      <c r="R646" s="1">
        <v>1</v>
      </c>
      <c r="S646" s="1">
        <v>1</v>
      </c>
      <c r="T646" s="1">
        <v>4</v>
      </c>
      <c r="U646" s="2">
        <f>IF(SUMIFS(StandardName[RankValueInTheRanking],StandardName[StandardizedName],QS_Webometrics[[#This Row],[Nazwa uczelni]],StandardName[Ranking],$U$1)=0,$N$3,SUMIFS(StandardName[RankValueInTheRanking],StandardName[StandardizedName],QS_Webometrics[[#This Row],[Nazwa uczelni]],StandardName[Ranking],$U$1))</f>
        <v>54</v>
      </c>
      <c r="V646" s="2">
        <f>IF(SUMIFS(StandardName[RankValueInTheRanking],StandardName[StandardizedName],QS_Webometrics[[#This Row],[Nazwa uczelni]],StandardName[Ranking],$V$1)=0,$N$3,SUMIFS(StandardName[RankValueInTheRanking],StandardName[StandardizedName],QS_Webometrics[[#This Row],[Nazwa uczelni]],StandardName[Ranking],$V$1))</f>
        <v>38</v>
      </c>
      <c r="W646" s="2">
        <f>IF(SUMIFS(StandardName[RankValueInTheRanking],StandardName[StandardizedName],QS_Webometrics[[#This Row],[Nazwa uczelni]],StandardName[Ranking],$W$1)=0,$N$3,SUMIFS(StandardName[RankValueInTheRanking],StandardName[StandardizedName],QS_Webometrics[[#This Row],[Nazwa uczelni]],StandardName[Ranking],$W$1))</f>
        <v>28</v>
      </c>
      <c r="X646" s="2">
        <f>IF(SUMIFS(StandardName[RankValueInTheRanking],StandardName[StandardizedName],QS_Webometrics[[#This Row],[Nazwa uczelni]],StandardName[Ranking],$X$1)=0,$N$3,SUMIFS(StandardName[RankValueInTheRanking],StandardName[StandardizedName],QS_Webometrics[[#This Row],[Nazwa uczelni]],StandardName[Ranking],$X$1))</f>
        <v>61</v>
      </c>
      <c r="Y646" s="2">
        <f>SUM(QS_Webometrics[[#This Row],[THE_RV1000]:[Webometrics_RV1000]])</f>
        <v>181</v>
      </c>
      <c r="Z646" s="1">
        <v>54</v>
      </c>
      <c r="AA646" s="1">
        <v>38</v>
      </c>
      <c r="AB646" s="1">
        <v>28</v>
      </c>
      <c r="AC646" s="1">
        <v>61</v>
      </c>
    </row>
    <row r="647" spans="15:29" outlineLevel="1" x14ac:dyDescent="0.45">
      <c r="O647" s="2" t="s">
        <v>276</v>
      </c>
      <c r="P647" s="2">
        <v>1</v>
      </c>
      <c r="Q647" s="2">
        <v>1</v>
      </c>
      <c r="R647" s="2">
        <v>1</v>
      </c>
      <c r="S647" s="2">
        <v>1</v>
      </c>
      <c r="T647" s="2">
        <v>4</v>
      </c>
      <c r="U647" s="2">
        <f>IF(SUMIFS(StandardName[RankValueInTheRanking],StandardName[StandardizedName],QS_Webometrics[[#This Row],[Nazwa uczelni]],StandardName[Ranking],$U$1)=0,$N$3,SUMIFS(StandardName[RankValueInTheRanking],StandardName[StandardizedName],QS_Webometrics[[#This Row],[Nazwa uczelni]],StandardName[Ranking],$U$1))</f>
        <v>50</v>
      </c>
      <c r="V647" s="2">
        <f>IF(SUMIFS(StandardName[RankValueInTheRanking],StandardName[StandardizedName],QS_Webometrics[[#This Row],[Nazwa uczelni]],StandardName[Ranking],$V$1)=0,$N$3,SUMIFS(StandardName[RankValueInTheRanking],StandardName[StandardizedName],QS_Webometrics[[#This Row],[Nazwa uczelni]],StandardName[Ranking],$V$1))</f>
        <v>37</v>
      </c>
      <c r="W647" s="2">
        <f>IF(SUMIFS(StandardName[RankValueInTheRanking],StandardName[StandardizedName],QS_Webometrics[[#This Row],[Nazwa uczelni]],StandardName[Ranking],$W$1)=0,$N$3,SUMIFS(StandardName[RankValueInTheRanking],StandardName[StandardizedName],QS_Webometrics[[#This Row],[Nazwa uczelni]],StandardName[Ranking],$W$1))</f>
        <v>72</v>
      </c>
      <c r="X647" s="2">
        <f>IF(SUMIFS(StandardName[RankValueInTheRanking],StandardName[StandardizedName],QS_Webometrics[[#This Row],[Nazwa uczelni]],StandardName[Ranking],$X$1)=0,$N$3,SUMIFS(StandardName[RankValueInTheRanking],StandardName[StandardizedName],QS_Webometrics[[#This Row],[Nazwa uczelni]],StandardName[Ranking],$X$1))</f>
        <v>25</v>
      </c>
      <c r="Y647" s="2">
        <f>SUM(QS_Webometrics[[#This Row],[THE_RV1000]:[Webometrics_RV1000]])</f>
        <v>184</v>
      </c>
      <c r="Z647" s="2">
        <v>50</v>
      </c>
      <c r="AA647" s="2">
        <v>37</v>
      </c>
      <c r="AB647" s="2">
        <v>72</v>
      </c>
      <c r="AC647" s="2">
        <v>25</v>
      </c>
    </row>
    <row r="648" spans="15:29" outlineLevel="1" x14ac:dyDescent="0.45">
      <c r="O648" s="1" t="s">
        <v>199</v>
      </c>
      <c r="P648" s="1">
        <v>1</v>
      </c>
      <c r="Q648" s="1">
        <v>1</v>
      </c>
      <c r="R648" s="1">
        <v>1</v>
      </c>
      <c r="S648" s="1">
        <v>1</v>
      </c>
      <c r="T648" s="1">
        <v>4</v>
      </c>
      <c r="U648" s="2">
        <f>IF(SUMIFS(StandardName[RankValueInTheRanking],StandardName[StandardizedName],QS_Webometrics[[#This Row],[Nazwa uczelni]],StandardName[Ranking],$U$1)=0,$N$3,SUMIFS(StandardName[RankValueInTheRanking],StandardName[StandardizedName],QS_Webometrics[[#This Row],[Nazwa uczelni]],StandardName[Ranking],$U$1))</f>
        <v>35</v>
      </c>
      <c r="V648" s="2">
        <f>IF(SUMIFS(StandardName[RankValueInTheRanking],StandardName[StandardizedName],QS_Webometrics[[#This Row],[Nazwa uczelni]],StandardName[Ranking],$V$1)=0,$N$3,SUMIFS(StandardName[RankValueInTheRanking],StandardName[StandardizedName],QS_Webometrics[[#This Row],[Nazwa uczelni]],StandardName[Ranking],$V$1))</f>
        <v>48</v>
      </c>
      <c r="W648" s="2">
        <f>IF(SUMIFS(StandardName[RankValueInTheRanking],StandardName[StandardizedName],QS_Webometrics[[#This Row],[Nazwa uczelni]],StandardName[Ranking],$W$1)=0,$N$3,SUMIFS(StandardName[RankValueInTheRanking],StandardName[StandardizedName],QS_Webometrics[[#This Row],[Nazwa uczelni]],StandardName[Ranking],$W$1))</f>
        <v>37</v>
      </c>
      <c r="X648" s="2">
        <f>IF(SUMIFS(StandardName[RankValueInTheRanking],StandardName[StandardizedName],QS_Webometrics[[#This Row],[Nazwa uczelni]],StandardName[Ranking],$X$1)=0,$N$3,SUMIFS(StandardName[RankValueInTheRanking],StandardName[StandardizedName],QS_Webometrics[[#This Row],[Nazwa uczelni]],StandardName[Ranking],$X$1))</f>
        <v>67</v>
      </c>
      <c r="Y648" s="2">
        <f>SUM(QS_Webometrics[[#This Row],[THE_RV1000]:[Webometrics_RV1000]])</f>
        <v>187</v>
      </c>
      <c r="Z648" s="1">
        <v>35</v>
      </c>
      <c r="AA648" s="1">
        <v>48</v>
      </c>
      <c r="AB648" s="1">
        <v>37</v>
      </c>
      <c r="AC648" s="1">
        <v>67</v>
      </c>
    </row>
    <row r="649" spans="15:29" outlineLevel="1" x14ac:dyDescent="0.45">
      <c r="O649" s="2" t="s">
        <v>816</v>
      </c>
      <c r="P649" s="2">
        <v>1</v>
      </c>
      <c r="Q649" s="2">
        <v>1</v>
      </c>
      <c r="R649" s="2">
        <v>1</v>
      </c>
      <c r="S649" s="2">
        <v>1</v>
      </c>
      <c r="T649" s="2">
        <v>4</v>
      </c>
      <c r="U649" s="2">
        <f>IF(SUMIFS(StandardName[RankValueInTheRanking],StandardName[StandardizedName],QS_Webometrics[[#This Row],[Nazwa uczelni]],StandardName[Ranking],$U$1)=0,$N$3,SUMIFS(StandardName[RankValueInTheRanking],StandardName[StandardizedName],QS_Webometrics[[#This Row],[Nazwa uczelni]],StandardName[Ranking],$U$1))</f>
        <v>53</v>
      </c>
      <c r="V649" s="2">
        <f>IF(SUMIFS(StandardName[RankValueInTheRanking],StandardName[StandardizedName],QS_Webometrics[[#This Row],[Nazwa uczelni]],StandardName[Ranking],$V$1)=0,$N$3,SUMIFS(StandardName[RankValueInTheRanking],StandardName[StandardizedName],QS_Webometrics[[#This Row],[Nazwa uczelni]],StandardName[Ranking],$V$1))</f>
        <v>47</v>
      </c>
      <c r="W649" s="2">
        <f>IF(SUMIFS(StandardName[RankValueInTheRanking],StandardName[StandardizedName],QS_Webometrics[[#This Row],[Nazwa uczelni]],StandardName[Ranking],$W$1)=0,$N$3,SUMIFS(StandardName[RankValueInTheRanking],StandardName[StandardizedName],QS_Webometrics[[#This Row],[Nazwa uczelni]],StandardName[Ranking],$W$1))</f>
        <v>50</v>
      </c>
      <c r="X649" s="2">
        <f>IF(SUMIFS(StandardName[RankValueInTheRanking],StandardName[StandardizedName],QS_Webometrics[[#This Row],[Nazwa uczelni]],StandardName[Ranking],$X$1)=0,$N$3,SUMIFS(StandardName[RankValueInTheRanking],StandardName[StandardizedName],QS_Webometrics[[#This Row],[Nazwa uczelni]],StandardName[Ranking],$X$1))</f>
        <v>52</v>
      </c>
      <c r="Y649" s="2">
        <f>SUM(QS_Webometrics[[#This Row],[THE_RV1000]:[Webometrics_RV1000]])</f>
        <v>202</v>
      </c>
      <c r="Z649" s="2">
        <v>53</v>
      </c>
      <c r="AA649" s="2">
        <v>47</v>
      </c>
      <c r="AB649" s="2">
        <v>50</v>
      </c>
      <c r="AC649" s="2">
        <v>52</v>
      </c>
    </row>
    <row r="650" spans="15:29" outlineLevel="1" x14ac:dyDescent="0.45">
      <c r="O650" s="1" t="s">
        <v>572</v>
      </c>
      <c r="P650" s="1">
        <v>1</v>
      </c>
      <c r="Q650" s="1">
        <v>1</v>
      </c>
      <c r="R650" s="1">
        <v>1</v>
      </c>
      <c r="S650" s="1">
        <v>1</v>
      </c>
      <c r="T650" s="1">
        <v>4</v>
      </c>
      <c r="U650" s="2">
        <f>IF(SUMIFS(StandardName[RankValueInTheRanking],StandardName[StandardizedName],QS_Webometrics[[#This Row],[Nazwa uczelni]],StandardName[Ranking],$U$1)=0,$N$3,SUMIFS(StandardName[RankValueInTheRanking],StandardName[StandardizedName],QS_Webometrics[[#This Row],[Nazwa uczelni]],StandardName[Ranking],$U$1))</f>
        <v>54</v>
      </c>
      <c r="V650" s="2">
        <f>IF(SUMIFS(StandardName[RankValueInTheRanking],StandardName[StandardizedName],QS_Webometrics[[#This Row],[Nazwa uczelni]],StandardName[Ranking],$V$1)=0,$N$3,SUMIFS(StandardName[RankValueInTheRanking],StandardName[StandardizedName],QS_Webometrics[[#This Row],[Nazwa uczelni]],StandardName[Ranking],$V$1))</f>
        <v>60</v>
      </c>
      <c r="W650" s="2">
        <f>IF(SUMIFS(StandardName[RankValueInTheRanking],StandardName[StandardizedName],QS_Webometrics[[#This Row],[Nazwa uczelni]],StandardName[Ranking],$W$1)=0,$N$3,SUMIFS(StandardName[RankValueInTheRanking],StandardName[StandardizedName],QS_Webometrics[[#This Row],[Nazwa uczelni]],StandardName[Ranking],$W$1))</f>
        <v>41</v>
      </c>
      <c r="X650" s="2">
        <f>IF(SUMIFS(StandardName[RankValueInTheRanking],StandardName[StandardizedName],QS_Webometrics[[#This Row],[Nazwa uczelni]],StandardName[Ranking],$X$1)=0,$N$3,SUMIFS(StandardName[RankValueInTheRanking],StandardName[StandardizedName],QS_Webometrics[[#This Row],[Nazwa uczelni]],StandardName[Ranking],$X$1))</f>
        <v>50</v>
      </c>
      <c r="Y650" s="2">
        <f>SUM(QS_Webometrics[[#This Row],[THE_RV1000]:[Webometrics_RV1000]])</f>
        <v>205</v>
      </c>
      <c r="Z650" s="1">
        <v>54</v>
      </c>
      <c r="AA650" s="1">
        <v>60</v>
      </c>
      <c r="AB650" s="1">
        <v>41</v>
      </c>
      <c r="AC650" s="1">
        <v>50</v>
      </c>
    </row>
    <row r="651" spans="15:29" outlineLevel="1" x14ac:dyDescent="0.45">
      <c r="O651" s="2" t="s">
        <v>253</v>
      </c>
      <c r="P651" s="2">
        <v>1</v>
      </c>
      <c r="Q651" s="2">
        <v>1</v>
      </c>
      <c r="R651" s="2">
        <v>1</v>
      </c>
      <c r="S651" s="2">
        <v>1</v>
      </c>
      <c r="T651" s="2">
        <v>4</v>
      </c>
      <c r="U651" s="2">
        <f>IF(SUMIFS(StandardName[RankValueInTheRanking],StandardName[StandardizedName],QS_Webometrics[[#This Row],[Nazwa uczelni]],StandardName[Ranking],$U$1)=0,$N$3,SUMIFS(StandardName[RankValueInTheRanking],StandardName[StandardizedName],QS_Webometrics[[#This Row],[Nazwa uczelni]],StandardName[Ranking],$U$1))</f>
        <v>46</v>
      </c>
      <c r="V651" s="2">
        <f>IF(SUMIFS(StandardName[RankValueInTheRanking],StandardName[StandardizedName],QS_Webometrics[[#This Row],[Nazwa uczelni]],StandardName[Ranking],$V$1)=0,$N$3,SUMIFS(StandardName[RankValueInTheRanking],StandardName[StandardizedName],QS_Webometrics[[#This Row],[Nazwa uczelni]],StandardName[Ranking],$V$1))</f>
        <v>73</v>
      </c>
      <c r="W651" s="2">
        <f>IF(SUMIFS(StandardName[RankValueInTheRanking],StandardName[StandardizedName],QS_Webometrics[[#This Row],[Nazwa uczelni]],StandardName[Ranking],$W$1)=0,$N$3,SUMIFS(StandardName[RankValueInTheRanking],StandardName[StandardizedName],QS_Webometrics[[#This Row],[Nazwa uczelni]],StandardName[Ranking],$W$1))</f>
        <v>31</v>
      </c>
      <c r="X651" s="2">
        <f>IF(SUMIFS(StandardName[RankValueInTheRanking],StandardName[StandardizedName],QS_Webometrics[[#This Row],[Nazwa uczelni]],StandardName[Ranking],$X$1)=0,$N$3,SUMIFS(StandardName[RankValueInTheRanking],StandardName[StandardizedName],QS_Webometrics[[#This Row],[Nazwa uczelni]],StandardName[Ranking],$X$1))</f>
        <v>60</v>
      </c>
      <c r="Y651" s="2">
        <f>SUM(QS_Webometrics[[#This Row],[THE_RV1000]:[Webometrics_RV1000]])</f>
        <v>210</v>
      </c>
      <c r="Z651" s="2">
        <v>46</v>
      </c>
      <c r="AA651" s="2">
        <v>73</v>
      </c>
      <c r="AB651" s="2">
        <v>31</v>
      </c>
      <c r="AC651" s="2">
        <v>60</v>
      </c>
    </row>
    <row r="652" spans="15:29" outlineLevel="1" x14ac:dyDescent="0.45">
      <c r="O652" s="1" t="s">
        <v>355</v>
      </c>
      <c r="P652" s="1">
        <v>1</v>
      </c>
      <c r="Q652" s="1">
        <v>1</v>
      </c>
      <c r="R652" s="1">
        <v>1</v>
      </c>
      <c r="S652" s="1">
        <v>1</v>
      </c>
      <c r="T652" s="1">
        <v>4</v>
      </c>
      <c r="U652" s="2">
        <f>IF(SUMIFS(StandardName[RankValueInTheRanking],StandardName[StandardizedName],QS_Webometrics[[#This Row],[Nazwa uczelni]],StandardName[Ranking],$U$1)=0,$N$3,SUMIFS(StandardName[RankValueInTheRanking],StandardName[StandardizedName],QS_Webometrics[[#This Row],[Nazwa uczelni]],StandardName[Ranking],$U$1))</f>
        <v>67</v>
      </c>
      <c r="V652" s="2">
        <f>IF(SUMIFS(StandardName[RankValueInTheRanking],StandardName[StandardizedName],QS_Webometrics[[#This Row],[Nazwa uczelni]],StandardName[Ranking],$V$1)=0,$N$3,SUMIFS(StandardName[RankValueInTheRanking],StandardName[StandardizedName],QS_Webometrics[[#This Row],[Nazwa uczelni]],StandardName[Ranking],$V$1))</f>
        <v>36</v>
      </c>
      <c r="W652" s="2">
        <f>IF(SUMIFS(StandardName[RankValueInTheRanking],StandardName[StandardizedName],QS_Webometrics[[#This Row],[Nazwa uczelni]],StandardName[Ranking],$W$1)=0,$N$3,SUMIFS(StandardName[RankValueInTheRanking],StandardName[StandardizedName],QS_Webometrics[[#This Row],[Nazwa uczelni]],StandardName[Ranking],$W$1))</f>
        <v>42</v>
      </c>
      <c r="X652" s="2">
        <f>IF(SUMIFS(StandardName[RankValueInTheRanking],StandardName[StandardizedName],QS_Webometrics[[#This Row],[Nazwa uczelni]],StandardName[Ranking],$X$1)=0,$N$3,SUMIFS(StandardName[RankValueInTheRanking],StandardName[StandardizedName],QS_Webometrics[[#This Row],[Nazwa uczelni]],StandardName[Ranking],$X$1))</f>
        <v>68</v>
      </c>
      <c r="Y652" s="2">
        <f>SUM(QS_Webometrics[[#This Row],[THE_RV1000]:[Webometrics_RV1000]])</f>
        <v>213</v>
      </c>
      <c r="Z652" s="1">
        <v>67</v>
      </c>
      <c r="AA652" s="1">
        <v>36</v>
      </c>
      <c r="AB652" s="1">
        <v>42</v>
      </c>
      <c r="AC652" s="1">
        <v>68</v>
      </c>
    </row>
    <row r="653" spans="15:29" outlineLevel="1" x14ac:dyDescent="0.45">
      <c r="O653" s="2" t="s">
        <v>266</v>
      </c>
      <c r="P653" s="2">
        <v>1</v>
      </c>
      <c r="Q653" s="2">
        <v>1</v>
      </c>
      <c r="R653" s="2">
        <v>1</v>
      </c>
      <c r="S653" s="2">
        <v>1</v>
      </c>
      <c r="T653" s="2">
        <v>4</v>
      </c>
      <c r="U653" s="2">
        <f>IF(SUMIFS(StandardName[RankValueInTheRanking],StandardName[StandardizedName],QS_Webometrics[[#This Row],[Nazwa uczelni]],StandardName[Ranking],$U$1)=0,$N$3,SUMIFS(StandardName[RankValueInTheRanking],StandardName[StandardizedName],QS_Webometrics[[#This Row],[Nazwa uczelni]],StandardName[Ranking],$U$1))</f>
        <v>48</v>
      </c>
      <c r="V653" s="2">
        <f>IF(SUMIFS(StandardName[RankValueInTheRanking],StandardName[StandardizedName],QS_Webometrics[[#This Row],[Nazwa uczelni]],StandardName[Ranking],$V$1)=0,$N$3,SUMIFS(StandardName[RankValueInTheRanking],StandardName[StandardizedName],QS_Webometrics[[#This Row],[Nazwa uczelni]],StandardName[Ranking],$V$1))</f>
        <v>49</v>
      </c>
      <c r="W653" s="2">
        <f>IF(SUMIFS(StandardName[RankValueInTheRanking],StandardName[StandardizedName],QS_Webometrics[[#This Row],[Nazwa uczelni]],StandardName[Ranking],$W$1)=0,$N$3,SUMIFS(StandardName[RankValueInTheRanking],StandardName[StandardizedName],QS_Webometrics[[#This Row],[Nazwa uczelni]],StandardName[Ranking],$W$1))</f>
        <v>85</v>
      </c>
      <c r="X653" s="2">
        <f>IF(SUMIFS(StandardName[RankValueInTheRanking],StandardName[StandardizedName],QS_Webometrics[[#This Row],[Nazwa uczelni]],StandardName[Ranking],$X$1)=0,$N$3,SUMIFS(StandardName[RankValueInTheRanking],StandardName[StandardizedName],QS_Webometrics[[#This Row],[Nazwa uczelni]],StandardName[Ranking],$X$1))</f>
        <v>33</v>
      </c>
      <c r="Y653" s="2">
        <f>SUM(QS_Webometrics[[#This Row],[THE_RV1000]:[Webometrics_RV1000]])</f>
        <v>215</v>
      </c>
      <c r="Z653" s="2">
        <v>48</v>
      </c>
      <c r="AA653" s="2">
        <v>49</v>
      </c>
      <c r="AB653" s="2">
        <v>85</v>
      </c>
      <c r="AC653" s="2">
        <v>33</v>
      </c>
    </row>
    <row r="654" spans="15:29" outlineLevel="1" x14ac:dyDescent="0.45">
      <c r="O654" s="1" t="s">
        <v>412</v>
      </c>
      <c r="P654" s="1">
        <v>1</v>
      </c>
      <c r="Q654" s="1">
        <v>1</v>
      </c>
      <c r="R654" s="1">
        <v>1</v>
      </c>
      <c r="S654" s="1">
        <v>1</v>
      </c>
      <c r="T654" s="1">
        <v>4</v>
      </c>
      <c r="U654" s="2">
        <f>IF(SUMIFS(StandardName[RankValueInTheRanking],StandardName[StandardizedName],QS_Webometrics[[#This Row],[Nazwa uczelni]],StandardName[Ranking],$U$1)=0,$N$3,SUMIFS(StandardName[RankValueInTheRanking],StandardName[StandardizedName],QS_Webometrics[[#This Row],[Nazwa uczelni]],StandardName[Ranking],$U$1))</f>
        <v>81</v>
      </c>
      <c r="V654" s="2">
        <f>IF(SUMIFS(StandardName[RankValueInTheRanking],StandardName[StandardizedName],QS_Webometrics[[#This Row],[Nazwa uczelni]],StandardName[Ranking],$V$1)=0,$N$3,SUMIFS(StandardName[RankValueInTheRanking],StandardName[StandardizedName],QS_Webometrics[[#This Row],[Nazwa uczelni]],StandardName[Ranking],$V$1))</f>
        <v>33</v>
      </c>
      <c r="W654" s="2">
        <f>IF(SUMIFS(StandardName[RankValueInTheRanking],StandardName[StandardizedName],QS_Webometrics[[#This Row],[Nazwa uczelni]],StandardName[Ranking],$W$1)=0,$N$3,SUMIFS(StandardName[RankValueInTheRanking],StandardName[StandardizedName],QS_Webometrics[[#This Row],[Nazwa uczelni]],StandardName[Ranking],$W$1))</f>
        <v>83</v>
      </c>
      <c r="X654" s="2">
        <f>IF(SUMIFS(StandardName[RankValueInTheRanking],StandardName[StandardizedName],QS_Webometrics[[#This Row],[Nazwa uczelni]],StandardName[Ranking],$X$1)=0,$N$3,SUMIFS(StandardName[RankValueInTheRanking],StandardName[StandardizedName],QS_Webometrics[[#This Row],[Nazwa uczelni]],StandardName[Ranking],$X$1))</f>
        <v>20</v>
      </c>
      <c r="Y654" s="2">
        <f>SUM(QS_Webometrics[[#This Row],[THE_RV1000]:[Webometrics_RV1000]])</f>
        <v>217</v>
      </c>
      <c r="Z654" s="1">
        <v>81</v>
      </c>
      <c r="AA654" s="1">
        <v>33</v>
      </c>
      <c r="AB654" s="1">
        <v>83</v>
      </c>
      <c r="AC654" s="1">
        <v>20</v>
      </c>
    </row>
    <row r="655" spans="15:29" outlineLevel="1" x14ac:dyDescent="0.45">
      <c r="O655" s="2" t="s">
        <v>286</v>
      </c>
      <c r="P655" s="2">
        <v>1</v>
      </c>
      <c r="Q655" s="2">
        <v>1</v>
      </c>
      <c r="R655" s="2">
        <v>1</v>
      </c>
      <c r="S655" s="2">
        <v>1</v>
      </c>
      <c r="T655" s="2">
        <v>4</v>
      </c>
      <c r="U655" s="2">
        <f>IF(SUMIFS(StandardName[RankValueInTheRanking],StandardName[StandardizedName],QS_Webometrics[[#This Row],[Nazwa uczelni]],StandardName[Ranking],$U$1)=0,$N$3,SUMIFS(StandardName[RankValueInTheRanking],StandardName[StandardizedName],QS_Webometrics[[#This Row],[Nazwa uczelni]],StandardName[Ranking],$U$1))</f>
        <v>52</v>
      </c>
      <c r="V655" s="2">
        <f>IF(SUMIFS(StandardName[RankValueInTheRanking],StandardName[StandardizedName],QS_Webometrics[[#This Row],[Nazwa uczelni]],StandardName[Ranking],$V$1)=0,$N$3,SUMIFS(StandardName[RankValueInTheRanking],StandardName[StandardizedName],QS_Webometrics[[#This Row],[Nazwa uczelni]],StandardName[Ranking],$V$1))</f>
        <v>54</v>
      </c>
      <c r="W655" s="2">
        <f>IF(SUMIFS(StandardName[RankValueInTheRanking],StandardName[StandardizedName],QS_Webometrics[[#This Row],[Nazwa uczelni]],StandardName[Ranking],$W$1)=0,$N$3,SUMIFS(StandardName[RankValueInTheRanking],StandardName[StandardizedName],QS_Webometrics[[#This Row],[Nazwa uczelni]],StandardName[Ranking],$W$1))</f>
        <v>46</v>
      </c>
      <c r="X655" s="2">
        <f>IF(SUMIFS(StandardName[RankValueInTheRanking],StandardName[StandardizedName],QS_Webometrics[[#This Row],[Nazwa uczelni]],StandardName[Ranking],$X$1)=0,$N$3,SUMIFS(StandardName[RankValueInTheRanking],StandardName[StandardizedName],QS_Webometrics[[#This Row],[Nazwa uczelni]],StandardName[Ranking],$X$1))</f>
        <v>69</v>
      </c>
      <c r="Y655" s="2">
        <f>SUM(QS_Webometrics[[#This Row],[THE_RV1000]:[Webometrics_RV1000]])</f>
        <v>221</v>
      </c>
      <c r="Z655" s="2">
        <v>52</v>
      </c>
      <c r="AA655" s="2">
        <v>54</v>
      </c>
      <c r="AB655" s="2">
        <v>46</v>
      </c>
      <c r="AC655" s="2">
        <v>69</v>
      </c>
    </row>
    <row r="656" spans="15:29" outlineLevel="1" x14ac:dyDescent="0.45">
      <c r="O656" s="1" t="s">
        <v>810</v>
      </c>
      <c r="P656" s="1">
        <v>1</v>
      </c>
      <c r="Q656" s="1">
        <v>1</v>
      </c>
      <c r="R656" s="1">
        <v>1</v>
      </c>
      <c r="S656" s="1">
        <v>1</v>
      </c>
      <c r="T656" s="1">
        <v>4</v>
      </c>
      <c r="U656" s="2">
        <f>IF(SUMIFS(StandardName[RankValueInTheRanking],StandardName[StandardizedName],QS_Webometrics[[#This Row],[Nazwa uczelni]],StandardName[Ranking],$U$1)=0,$N$3,SUMIFS(StandardName[RankValueInTheRanking],StandardName[StandardizedName],QS_Webometrics[[#This Row],[Nazwa uczelni]],StandardName[Ranking],$U$1))</f>
        <v>71</v>
      </c>
      <c r="V656" s="2">
        <f>IF(SUMIFS(StandardName[RankValueInTheRanking],StandardName[StandardizedName],QS_Webometrics[[#This Row],[Nazwa uczelni]],StandardName[Ranking],$V$1)=0,$N$3,SUMIFS(StandardName[RankValueInTheRanking],StandardName[StandardizedName],QS_Webometrics[[#This Row],[Nazwa uczelni]],StandardName[Ranking],$V$1))</f>
        <v>64</v>
      </c>
      <c r="W656" s="2">
        <f>IF(SUMIFS(StandardName[RankValueInTheRanking],StandardName[StandardizedName],QS_Webometrics[[#This Row],[Nazwa uczelni]],StandardName[Ranking],$W$1)=0,$N$3,SUMIFS(StandardName[RankValueInTheRanking],StandardName[StandardizedName],QS_Webometrics[[#This Row],[Nazwa uczelni]],StandardName[Ranking],$W$1))</f>
        <v>45</v>
      </c>
      <c r="X656" s="2">
        <f>IF(SUMIFS(StandardName[RankValueInTheRanking],StandardName[StandardizedName],QS_Webometrics[[#This Row],[Nazwa uczelni]],StandardName[Ranking],$X$1)=0,$N$3,SUMIFS(StandardName[RankValueInTheRanking],StandardName[StandardizedName],QS_Webometrics[[#This Row],[Nazwa uczelni]],StandardName[Ranking],$X$1))</f>
        <v>41</v>
      </c>
      <c r="Y656" s="2">
        <f>SUM(QS_Webometrics[[#This Row],[THE_RV1000]:[Webometrics_RV1000]])</f>
        <v>221</v>
      </c>
      <c r="Z656" s="1">
        <v>71</v>
      </c>
      <c r="AA656" s="1">
        <v>64</v>
      </c>
      <c r="AB656" s="1">
        <v>45</v>
      </c>
      <c r="AC656" s="1">
        <v>41</v>
      </c>
    </row>
    <row r="657" spans="15:29" outlineLevel="1" x14ac:dyDescent="0.45">
      <c r="O657" s="2" t="s">
        <v>179</v>
      </c>
      <c r="P657" s="2">
        <v>1</v>
      </c>
      <c r="Q657" s="2">
        <v>1</v>
      </c>
      <c r="R657" s="2">
        <v>1</v>
      </c>
      <c r="S657" s="2">
        <v>1</v>
      </c>
      <c r="T657" s="2">
        <v>4</v>
      </c>
      <c r="U657" s="2">
        <f>IF(SUMIFS(StandardName[RankValueInTheRanking],StandardName[StandardizedName],QS_Webometrics[[#This Row],[Nazwa uczelni]],StandardName[Ranking],$U$1)=0,$N$3,SUMIFS(StandardName[RankValueInTheRanking],StandardName[StandardizedName],QS_Webometrics[[#This Row],[Nazwa uczelni]],StandardName[Ranking],$U$1))</f>
        <v>31</v>
      </c>
      <c r="V657" s="2">
        <f>IF(SUMIFS(StandardName[RankValueInTheRanking],StandardName[StandardizedName],QS_Webometrics[[#This Row],[Nazwa uczelni]],StandardName[Ranking],$V$1)=0,$N$3,SUMIFS(StandardName[RankValueInTheRanking],StandardName[StandardizedName],QS_Webometrics[[#This Row],[Nazwa uczelni]],StandardName[Ranking],$V$1))</f>
        <v>96</v>
      </c>
      <c r="W657" s="2">
        <f>IF(SUMIFS(StandardName[RankValueInTheRanking],StandardName[StandardizedName],QS_Webometrics[[#This Row],[Nazwa uczelni]],StandardName[Ranking],$W$1)=0,$N$3,SUMIFS(StandardName[RankValueInTheRanking],StandardName[StandardizedName],QS_Webometrics[[#This Row],[Nazwa uczelni]],StandardName[Ranking],$W$1))</f>
        <v>21</v>
      </c>
      <c r="X657" s="2">
        <f>IF(SUMIFS(StandardName[RankValueInTheRanking],StandardName[StandardizedName],QS_Webometrics[[#This Row],[Nazwa uczelni]],StandardName[Ranking],$X$1)=0,$N$3,SUMIFS(StandardName[RankValueInTheRanking],StandardName[StandardizedName],QS_Webometrics[[#This Row],[Nazwa uczelni]],StandardName[Ranking],$X$1))</f>
        <v>75</v>
      </c>
      <c r="Y657" s="2">
        <f>SUM(QS_Webometrics[[#This Row],[THE_RV1000]:[Webometrics_RV1000]])</f>
        <v>223</v>
      </c>
      <c r="Z657" s="2">
        <v>31</v>
      </c>
      <c r="AA657" s="2">
        <v>96</v>
      </c>
      <c r="AB657" s="2">
        <v>21</v>
      </c>
      <c r="AC657" s="2">
        <v>75</v>
      </c>
    </row>
    <row r="658" spans="15:29" outlineLevel="1" x14ac:dyDescent="0.45">
      <c r="O658" s="1" t="s">
        <v>614</v>
      </c>
      <c r="P658" s="1">
        <v>1</v>
      </c>
      <c r="Q658" s="1">
        <v>1</v>
      </c>
      <c r="R658" s="1">
        <v>1</v>
      </c>
      <c r="S658" s="1">
        <v>1</v>
      </c>
      <c r="T658" s="1">
        <v>4</v>
      </c>
      <c r="U658" s="2">
        <f>IF(SUMIFS(StandardName[RankValueInTheRanking],StandardName[StandardizedName],QS_Webometrics[[#This Row],[Nazwa uczelni]],StandardName[Ranking],$U$1)=0,$N$3,SUMIFS(StandardName[RankValueInTheRanking],StandardName[StandardizedName],QS_Webometrics[[#This Row],[Nazwa uczelni]],StandardName[Ranking],$U$1))</f>
        <v>36</v>
      </c>
      <c r="V658" s="2">
        <f>IF(SUMIFS(StandardName[RankValueInTheRanking],StandardName[StandardizedName],QS_Webometrics[[#This Row],[Nazwa uczelni]],StandardName[Ranking],$V$1)=0,$N$3,SUMIFS(StandardName[RankValueInTheRanking],StandardName[StandardizedName],QS_Webometrics[[#This Row],[Nazwa uczelni]],StandardName[Ranking],$V$1))</f>
        <v>88</v>
      </c>
      <c r="W658" s="2">
        <f>IF(SUMIFS(StandardName[RankValueInTheRanking],StandardName[StandardizedName],QS_Webometrics[[#This Row],[Nazwa uczelni]],StandardName[Ranking],$W$1)=0,$N$3,SUMIFS(StandardName[RankValueInTheRanking],StandardName[StandardizedName],QS_Webometrics[[#This Row],[Nazwa uczelni]],StandardName[Ranking],$W$1))</f>
        <v>19</v>
      </c>
      <c r="X658" s="2">
        <f>IF(SUMIFS(StandardName[RankValueInTheRanking],StandardName[StandardizedName],QS_Webometrics[[#This Row],[Nazwa uczelni]],StandardName[Ranking],$X$1)=0,$N$3,SUMIFS(StandardName[RankValueInTheRanking],StandardName[StandardizedName],QS_Webometrics[[#This Row],[Nazwa uczelni]],StandardName[Ranking],$X$1))</f>
        <v>87</v>
      </c>
      <c r="Y658" s="2">
        <f>SUM(QS_Webometrics[[#This Row],[THE_RV1000]:[Webometrics_RV1000]])</f>
        <v>230</v>
      </c>
      <c r="Z658" s="1">
        <v>36</v>
      </c>
      <c r="AA658" s="1">
        <v>88</v>
      </c>
      <c r="AB658" s="1">
        <v>19</v>
      </c>
      <c r="AC658" s="1">
        <v>87</v>
      </c>
    </row>
    <row r="659" spans="15:29" outlineLevel="1" x14ac:dyDescent="0.45">
      <c r="O659" s="2" t="s">
        <v>245</v>
      </c>
      <c r="P659" s="2">
        <v>1</v>
      </c>
      <c r="Q659" s="2">
        <v>1</v>
      </c>
      <c r="R659" s="2">
        <v>1</v>
      </c>
      <c r="S659" s="2">
        <v>1</v>
      </c>
      <c r="T659" s="2">
        <v>4</v>
      </c>
      <c r="U659" s="2">
        <f>IF(SUMIFS(StandardName[RankValueInTheRanking],StandardName[StandardizedName],QS_Webometrics[[#This Row],[Nazwa uczelni]],StandardName[Ranking],$U$1)=0,$N$3,SUMIFS(StandardName[RankValueInTheRanking],StandardName[StandardizedName],QS_Webometrics[[#This Row],[Nazwa uczelni]],StandardName[Ranking],$U$1))</f>
        <v>44</v>
      </c>
      <c r="V659" s="2">
        <f>IF(SUMIFS(StandardName[RankValueInTheRanking],StandardName[StandardizedName],QS_Webometrics[[#This Row],[Nazwa uczelni]],StandardName[Ranking],$V$1)=0,$N$3,SUMIFS(StandardName[RankValueInTheRanking],StandardName[StandardizedName],QS_Webometrics[[#This Row],[Nazwa uczelni]],StandardName[Ranking],$V$1))</f>
        <v>75</v>
      </c>
      <c r="W659" s="2">
        <f>IF(SUMIFS(StandardName[RankValueInTheRanking],StandardName[StandardizedName],QS_Webometrics[[#This Row],[Nazwa uczelni]],StandardName[Ranking],$W$1)=0,$N$3,SUMIFS(StandardName[RankValueInTheRanking],StandardName[StandardizedName],QS_Webometrics[[#This Row],[Nazwa uczelni]],StandardName[Ranking],$W$1))</f>
        <v>57</v>
      </c>
      <c r="X659" s="2">
        <f>IF(SUMIFS(StandardName[RankValueInTheRanking],StandardName[StandardizedName],QS_Webometrics[[#This Row],[Nazwa uczelni]],StandardName[Ranking],$X$1)=0,$N$3,SUMIFS(StandardName[RankValueInTheRanking],StandardName[StandardizedName],QS_Webometrics[[#This Row],[Nazwa uczelni]],StandardName[Ranking],$X$1))</f>
        <v>57</v>
      </c>
      <c r="Y659" s="2">
        <f>SUM(QS_Webometrics[[#This Row],[THE_RV1000]:[Webometrics_RV1000]])</f>
        <v>233</v>
      </c>
      <c r="Z659" s="2">
        <v>44</v>
      </c>
      <c r="AA659" s="2">
        <v>75</v>
      </c>
      <c r="AB659" s="2">
        <v>57</v>
      </c>
      <c r="AC659" s="2">
        <v>57</v>
      </c>
    </row>
    <row r="660" spans="15:29" outlineLevel="1" x14ac:dyDescent="0.45">
      <c r="O660" s="1" t="s">
        <v>337</v>
      </c>
      <c r="P660" s="1">
        <v>1</v>
      </c>
      <c r="Q660" s="1">
        <v>1</v>
      </c>
      <c r="R660" s="1">
        <v>1</v>
      </c>
      <c r="S660" s="1">
        <v>1</v>
      </c>
      <c r="T660" s="1">
        <v>4</v>
      </c>
      <c r="U660" s="2">
        <f>IF(SUMIFS(StandardName[RankValueInTheRanking],StandardName[StandardizedName],QS_Webometrics[[#This Row],[Nazwa uczelni]],StandardName[Ranking],$U$1)=0,$N$3,SUMIFS(StandardName[RankValueInTheRanking],StandardName[StandardizedName],QS_Webometrics[[#This Row],[Nazwa uczelni]],StandardName[Ranking],$U$1))</f>
        <v>62</v>
      </c>
      <c r="V660" s="2">
        <f>IF(SUMIFS(StandardName[RankValueInTheRanking],StandardName[StandardizedName],QS_Webometrics[[#This Row],[Nazwa uczelni]],StandardName[Ranking],$V$1)=0,$N$3,SUMIFS(StandardName[RankValueInTheRanking],StandardName[StandardizedName],QS_Webometrics[[#This Row],[Nazwa uczelni]],StandardName[Ranking],$V$1))</f>
        <v>79</v>
      </c>
      <c r="W660" s="2">
        <f>IF(SUMIFS(StandardName[RankValueInTheRanking],StandardName[StandardizedName],QS_Webometrics[[#This Row],[Nazwa uczelni]],StandardName[Ranking],$W$1)=0,$N$3,SUMIFS(StandardName[RankValueInTheRanking],StandardName[StandardizedName],QS_Webometrics[[#This Row],[Nazwa uczelni]],StandardName[Ranking],$W$1))</f>
        <v>30</v>
      </c>
      <c r="X660" s="2">
        <f>IF(SUMIFS(StandardName[RankValueInTheRanking],StandardName[StandardizedName],QS_Webometrics[[#This Row],[Nazwa uczelni]],StandardName[Ranking],$X$1)=0,$N$3,SUMIFS(StandardName[RankValueInTheRanking],StandardName[StandardizedName],QS_Webometrics[[#This Row],[Nazwa uczelni]],StandardName[Ranking],$X$1))</f>
        <v>79</v>
      </c>
      <c r="Y660" s="2">
        <f>SUM(QS_Webometrics[[#This Row],[THE_RV1000]:[Webometrics_RV1000]])</f>
        <v>250</v>
      </c>
      <c r="Z660" s="1">
        <v>62</v>
      </c>
      <c r="AA660" s="1">
        <v>79</v>
      </c>
      <c r="AB660" s="1">
        <v>30</v>
      </c>
      <c r="AC660" s="1">
        <v>79</v>
      </c>
    </row>
    <row r="661" spans="15:29" outlineLevel="1" x14ac:dyDescent="0.45">
      <c r="O661" s="2" t="s">
        <v>306</v>
      </c>
      <c r="P661" s="2">
        <v>1</v>
      </c>
      <c r="Q661" s="2">
        <v>1</v>
      </c>
      <c r="R661" s="2">
        <v>1</v>
      </c>
      <c r="S661" s="2">
        <v>1</v>
      </c>
      <c r="T661" s="2">
        <v>4</v>
      </c>
      <c r="U661" s="2">
        <f>IF(SUMIFS(StandardName[RankValueInTheRanking],StandardName[StandardizedName],QS_Webometrics[[#This Row],[Nazwa uczelni]],StandardName[Ranking],$U$1)=0,$N$3,SUMIFS(StandardName[RankValueInTheRanking],StandardName[StandardizedName],QS_Webometrics[[#This Row],[Nazwa uczelni]],StandardName[Ranking],$U$1))</f>
        <v>56</v>
      </c>
      <c r="V661" s="2">
        <f>IF(SUMIFS(StandardName[RankValueInTheRanking],StandardName[StandardizedName],QS_Webometrics[[#This Row],[Nazwa uczelni]],StandardName[Ranking],$V$1)=0,$N$3,SUMIFS(StandardName[RankValueInTheRanking],StandardName[StandardizedName],QS_Webometrics[[#This Row],[Nazwa uczelni]],StandardName[Ranking],$V$1))</f>
        <v>98</v>
      </c>
      <c r="W661" s="2">
        <f>IF(SUMIFS(StandardName[RankValueInTheRanking],StandardName[StandardizedName],QS_Webometrics[[#This Row],[Nazwa uczelni]],StandardName[Ranking],$W$1)=0,$N$3,SUMIFS(StandardName[RankValueInTheRanking],StandardName[StandardizedName],QS_Webometrics[[#This Row],[Nazwa uczelni]],StandardName[Ranking],$W$1))</f>
        <v>29</v>
      </c>
      <c r="X661" s="2">
        <f>IF(SUMIFS(StandardName[RankValueInTheRanking],StandardName[StandardizedName],QS_Webometrics[[#This Row],[Nazwa uczelni]],StandardName[Ranking],$X$1)=0,$N$3,SUMIFS(StandardName[RankValueInTheRanking],StandardName[StandardizedName],QS_Webometrics[[#This Row],[Nazwa uczelni]],StandardName[Ranking],$X$1))</f>
        <v>96</v>
      </c>
      <c r="Y661" s="2">
        <f>SUM(QS_Webometrics[[#This Row],[THE_RV1000]:[Webometrics_RV1000]])</f>
        <v>279</v>
      </c>
      <c r="Z661" s="2">
        <v>56</v>
      </c>
      <c r="AA661" s="2">
        <v>98</v>
      </c>
      <c r="AB661" s="2">
        <v>29</v>
      </c>
      <c r="AC661" s="2">
        <v>96</v>
      </c>
    </row>
    <row r="662" spans="15:29" outlineLevel="1" x14ac:dyDescent="0.45">
      <c r="O662" s="1" t="s">
        <v>332</v>
      </c>
      <c r="P662" s="1">
        <v>1</v>
      </c>
      <c r="Q662" s="1">
        <v>1</v>
      </c>
      <c r="R662" s="1">
        <v>1</v>
      </c>
      <c r="S662" s="1">
        <v>1</v>
      </c>
      <c r="T662" s="1">
        <v>4</v>
      </c>
      <c r="U662" s="2">
        <f>IF(SUMIFS(StandardName[RankValueInTheRanking],StandardName[StandardizedName],QS_Webometrics[[#This Row],[Nazwa uczelni]],StandardName[Ranking],$U$1)=0,$N$3,SUMIFS(StandardName[RankValueInTheRanking],StandardName[StandardizedName],QS_Webometrics[[#This Row],[Nazwa uczelni]],StandardName[Ranking],$U$1))</f>
        <v>61</v>
      </c>
      <c r="V662" s="2">
        <f>IF(SUMIFS(StandardName[RankValueInTheRanking],StandardName[StandardizedName],QS_Webometrics[[#This Row],[Nazwa uczelni]],StandardName[Ranking],$V$1)=0,$N$3,SUMIFS(StandardName[RankValueInTheRanking],StandardName[StandardizedName],QS_Webometrics[[#This Row],[Nazwa uczelni]],StandardName[Ranking],$V$1))</f>
        <v>99</v>
      </c>
      <c r="W662" s="2">
        <f>IF(SUMIFS(StandardName[RankValueInTheRanking],StandardName[StandardizedName],QS_Webometrics[[#This Row],[Nazwa uczelni]],StandardName[Ranking],$W$1)=0,$N$3,SUMIFS(StandardName[RankValueInTheRanking],StandardName[StandardizedName],QS_Webometrics[[#This Row],[Nazwa uczelni]],StandardName[Ranking],$W$1))</f>
        <v>63</v>
      </c>
      <c r="X662" s="2">
        <f>IF(SUMIFS(StandardName[RankValueInTheRanking],StandardName[StandardizedName],QS_Webometrics[[#This Row],[Nazwa uczelni]],StandardName[Ranking],$X$1)=0,$N$3,SUMIFS(StandardName[RankValueInTheRanking],StandardName[StandardizedName],QS_Webometrics[[#This Row],[Nazwa uczelni]],StandardName[Ranking],$X$1))</f>
        <v>80</v>
      </c>
      <c r="Y662" s="2">
        <f>SUM(QS_Webometrics[[#This Row],[THE_RV1000]:[Webometrics_RV1000]])</f>
        <v>303</v>
      </c>
      <c r="Z662" s="1">
        <v>61</v>
      </c>
      <c r="AA662" s="1">
        <v>99</v>
      </c>
      <c r="AB662" s="1">
        <v>63</v>
      </c>
      <c r="AC662" s="1">
        <v>80</v>
      </c>
    </row>
    <row r="663" spans="15:29" outlineLevel="1" x14ac:dyDescent="0.45">
      <c r="O663" s="2" t="s">
        <v>425</v>
      </c>
      <c r="P663" s="2">
        <v>1</v>
      </c>
      <c r="Q663" s="2">
        <v>1</v>
      </c>
      <c r="R663" s="2">
        <v>1</v>
      </c>
      <c r="S663" s="2">
        <v>1</v>
      </c>
      <c r="T663" s="2">
        <v>4</v>
      </c>
      <c r="U663" s="2">
        <f>IF(SUMIFS(StandardName[RankValueInTheRanking],StandardName[StandardizedName],QS_Webometrics[[#This Row],[Nazwa uczelni]],StandardName[Ranking],$U$1)=0,$N$3,SUMIFS(StandardName[RankValueInTheRanking],StandardName[StandardizedName],QS_Webometrics[[#This Row],[Nazwa uczelni]],StandardName[Ranking],$U$1))</f>
        <v>82</v>
      </c>
      <c r="V663" s="2">
        <f>IF(SUMIFS(StandardName[RankValueInTheRanking],StandardName[StandardizedName],QS_Webometrics[[#This Row],[Nazwa uczelni]],StandardName[Ranking],$V$1)=0,$N$3,SUMIFS(StandardName[RankValueInTheRanking],StandardName[StandardizedName],QS_Webometrics[[#This Row],[Nazwa uczelni]],StandardName[Ranking],$V$1))</f>
        <v>59</v>
      </c>
      <c r="W663" s="2">
        <f>IF(SUMIFS(StandardName[RankValueInTheRanking],StandardName[StandardizedName],QS_Webometrics[[#This Row],[Nazwa uczelni]],StandardName[Ranking],$W$1)=0,$N$3,SUMIFS(StandardName[RankValueInTheRanking],StandardName[StandardizedName],QS_Webometrics[[#This Row],[Nazwa uczelni]],StandardName[Ranking],$W$1))</f>
        <v>83</v>
      </c>
      <c r="X663" s="2">
        <f>IF(SUMIFS(StandardName[RankValueInTheRanking],StandardName[StandardizedName],QS_Webometrics[[#This Row],[Nazwa uczelni]],StandardName[Ranking],$X$1)=0,$N$3,SUMIFS(StandardName[RankValueInTheRanking],StandardName[StandardizedName],QS_Webometrics[[#This Row],[Nazwa uczelni]],StandardName[Ranking],$X$1))</f>
        <v>92</v>
      </c>
      <c r="Y663" s="2">
        <f>SUM(QS_Webometrics[[#This Row],[THE_RV1000]:[Webometrics_RV1000]])</f>
        <v>316</v>
      </c>
      <c r="Z663" s="2">
        <v>82</v>
      </c>
      <c r="AA663" s="2">
        <v>59</v>
      </c>
      <c r="AB663" s="2">
        <v>83</v>
      </c>
      <c r="AC663" s="2">
        <v>92</v>
      </c>
    </row>
    <row r="664" spans="15:29" outlineLevel="1" x14ac:dyDescent="0.45">
      <c r="O664" s="1" t="s">
        <v>385</v>
      </c>
      <c r="P664" s="1">
        <v>1</v>
      </c>
      <c r="Q664" s="1">
        <v>1</v>
      </c>
      <c r="R664" s="1">
        <v>1</v>
      </c>
      <c r="S664" s="1">
        <v>1</v>
      </c>
      <c r="T664" s="1">
        <v>4</v>
      </c>
      <c r="U664" s="2">
        <f>IF(SUMIFS(StandardName[RankValueInTheRanking],StandardName[StandardizedName],QS_Webometrics[[#This Row],[Nazwa uczelni]],StandardName[Ranking],$U$1)=0,$N$3,SUMIFS(StandardName[RankValueInTheRanking],StandardName[StandardizedName],QS_Webometrics[[#This Row],[Nazwa uczelni]],StandardName[Ranking],$U$1))</f>
        <v>74</v>
      </c>
      <c r="V664" s="2">
        <f>IF(SUMIFS(StandardName[RankValueInTheRanking],StandardName[StandardizedName],QS_Webometrics[[#This Row],[Nazwa uczelni]],StandardName[Ranking],$V$1)=0,$N$3,SUMIFS(StandardName[RankValueInTheRanking],StandardName[StandardizedName],QS_Webometrics[[#This Row],[Nazwa uczelni]],StandardName[Ranking],$V$1))</f>
        <v>62</v>
      </c>
      <c r="W664" s="2">
        <f>IF(SUMIFS(StandardName[RankValueInTheRanking],StandardName[StandardizedName],QS_Webometrics[[#This Row],[Nazwa uczelni]],StandardName[Ranking],$W$1)=0,$N$3,SUMIFS(StandardName[RankValueInTheRanking],StandardName[StandardizedName],QS_Webometrics[[#This Row],[Nazwa uczelni]],StandardName[Ranking],$W$1))</f>
        <v>94</v>
      </c>
      <c r="X664" s="2">
        <f>IF(SUMIFS(StandardName[RankValueInTheRanking],StandardName[StandardizedName],QS_Webometrics[[#This Row],[Nazwa uczelni]],StandardName[Ranking],$X$1)=0,$N$3,SUMIFS(StandardName[RankValueInTheRanking],StandardName[StandardizedName],QS_Webometrics[[#This Row],[Nazwa uczelni]],StandardName[Ranking],$X$1))</f>
        <v>95</v>
      </c>
      <c r="Y664" s="2">
        <f>SUM(QS_Webometrics[[#This Row],[THE_RV1000]:[Webometrics_RV1000]])</f>
        <v>325</v>
      </c>
      <c r="Z664" s="1">
        <v>74</v>
      </c>
      <c r="AA664" s="1">
        <v>62</v>
      </c>
      <c r="AB664" s="1">
        <v>94</v>
      </c>
      <c r="AC664" s="1">
        <v>95</v>
      </c>
    </row>
    <row r="665" spans="15:29" outlineLevel="1" x14ac:dyDescent="0.45">
      <c r="O665" s="2" t="s">
        <v>162</v>
      </c>
      <c r="P665" s="2">
        <v>1</v>
      </c>
      <c r="Q665" s="2">
        <v>0</v>
      </c>
      <c r="R665" s="2">
        <v>1</v>
      </c>
      <c r="S665" s="2">
        <v>1</v>
      </c>
      <c r="T665" s="2">
        <v>3</v>
      </c>
      <c r="U665" s="2">
        <f>IF(SUMIFS(StandardName[RankValueInTheRanking],StandardName[StandardizedName],QS_Webometrics[[#This Row],[Nazwa uczelni]],StandardName[Ranking],$U$1)=0,$N$3,SUMIFS(StandardName[RankValueInTheRanking],StandardName[StandardizedName],QS_Webometrics[[#This Row],[Nazwa uczelni]],StandardName[Ranking],$U$1))</f>
        <v>28</v>
      </c>
      <c r="V665" s="2">
        <f>IF(SUMIFS(StandardName[RankValueInTheRanking],StandardName[StandardizedName],QS_Webometrics[[#This Row],[Nazwa uczelni]],StandardName[Ranking],$V$1)=0,$N$3,SUMIFS(StandardName[RankValueInTheRanking],StandardName[StandardizedName],QS_Webometrics[[#This Row],[Nazwa uczelni]],StandardName[Ranking],$V$1))</f>
        <v>250</v>
      </c>
      <c r="W665" s="2">
        <f>IF(SUMIFS(StandardName[RankValueInTheRanking],StandardName[StandardizedName],QS_Webometrics[[#This Row],[Nazwa uczelni]],StandardName[Ranking],$W$1)=0,$N$3,SUMIFS(StandardName[RankValueInTheRanking],StandardName[StandardizedName],QS_Webometrics[[#This Row],[Nazwa uczelni]],StandardName[Ranking],$W$1))</f>
        <v>52</v>
      </c>
      <c r="X665" s="2">
        <f>IF(SUMIFS(StandardName[RankValueInTheRanking],StandardName[StandardizedName],QS_Webometrics[[#This Row],[Nazwa uczelni]],StandardName[Ranking],$X$1)=0,$N$3,SUMIFS(StandardName[RankValueInTheRanking],StandardName[StandardizedName],QS_Webometrics[[#This Row],[Nazwa uczelni]],StandardName[Ranking],$X$1))</f>
        <v>49</v>
      </c>
      <c r="Y665" s="2">
        <f>SUM(QS_Webometrics[[#This Row],[THE_RV1000]:[Webometrics_RV1000]])</f>
        <v>379</v>
      </c>
      <c r="Z665" s="2">
        <v>28</v>
      </c>
      <c r="AA665" s="2">
        <v>0</v>
      </c>
      <c r="AB665" s="2">
        <v>52</v>
      </c>
      <c r="AC665" s="2">
        <v>49</v>
      </c>
    </row>
    <row r="666" spans="15:29" outlineLevel="1" x14ac:dyDescent="0.45">
      <c r="O666" s="1" t="s">
        <v>230</v>
      </c>
      <c r="P666" s="1">
        <v>1</v>
      </c>
      <c r="Q666" s="1">
        <v>0</v>
      </c>
      <c r="R666" s="1">
        <v>1</v>
      </c>
      <c r="S666" s="1">
        <v>1</v>
      </c>
      <c r="T666" s="1">
        <v>3</v>
      </c>
      <c r="U666" s="2">
        <f>IF(SUMIFS(StandardName[RankValueInTheRanking],StandardName[StandardizedName],QS_Webometrics[[#This Row],[Nazwa uczelni]],StandardName[Ranking],$U$1)=0,$N$3,SUMIFS(StandardName[RankValueInTheRanking],StandardName[StandardizedName],QS_Webometrics[[#This Row],[Nazwa uczelni]],StandardName[Ranking],$U$1))</f>
        <v>41</v>
      </c>
      <c r="V666" s="2">
        <f>IF(SUMIFS(StandardName[RankValueInTheRanking],StandardName[StandardizedName],QS_Webometrics[[#This Row],[Nazwa uczelni]],StandardName[Ranking],$V$1)=0,$N$3,SUMIFS(StandardName[RankValueInTheRanking],StandardName[StandardizedName],QS_Webometrics[[#This Row],[Nazwa uczelni]],StandardName[Ranking],$V$1))</f>
        <v>250</v>
      </c>
      <c r="W666" s="2">
        <f>IF(SUMIFS(StandardName[RankValueInTheRanking],StandardName[StandardizedName],QS_Webometrics[[#This Row],[Nazwa uczelni]],StandardName[Ranking],$W$1)=0,$N$3,SUMIFS(StandardName[RankValueInTheRanking],StandardName[StandardizedName],QS_Webometrics[[#This Row],[Nazwa uczelni]],StandardName[Ranking],$W$1))</f>
        <v>16</v>
      </c>
      <c r="X666" s="2">
        <f>IF(SUMIFS(StandardName[RankValueInTheRanking],StandardName[StandardizedName],QS_Webometrics[[#This Row],[Nazwa uczelni]],StandardName[Ranking],$X$1)=0,$N$3,SUMIFS(StandardName[RankValueInTheRanking],StandardName[StandardizedName],QS_Webometrics[[#This Row],[Nazwa uczelni]],StandardName[Ranking],$X$1))</f>
        <v>90</v>
      </c>
      <c r="Y666" s="2">
        <f>SUM(QS_Webometrics[[#This Row],[THE_RV1000]:[Webometrics_RV1000]])</f>
        <v>397</v>
      </c>
      <c r="Z666" s="1">
        <v>41</v>
      </c>
      <c r="AA666" s="1">
        <v>0</v>
      </c>
      <c r="AB666" s="1">
        <v>16</v>
      </c>
      <c r="AC666" s="1">
        <v>90</v>
      </c>
    </row>
    <row r="667" spans="15:29" outlineLevel="1" x14ac:dyDescent="0.45">
      <c r="O667" s="2" t="s">
        <v>250</v>
      </c>
      <c r="P667" s="2">
        <v>1</v>
      </c>
      <c r="Q667" s="2">
        <v>0</v>
      </c>
      <c r="R667" s="2">
        <v>1</v>
      </c>
      <c r="S667" s="2">
        <v>1</v>
      </c>
      <c r="T667" s="2">
        <v>3</v>
      </c>
      <c r="U667" s="2">
        <f>IF(SUMIFS(StandardName[RankValueInTheRanking],StandardName[StandardizedName],QS_Webometrics[[#This Row],[Nazwa uczelni]],StandardName[Ranking],$U$1)=0,$N$3,SUMIFS(StandardName[RankValueInTheRanking],StandardName[StandardizedName],QS_Webometrics[[#This Row],[Nazwa uczelni]],StandardName[Ranking],$U$1))</f>
        <v>45</v>
      </c>
      <c r="V667" s="2">
        <f>IF(SUMIFS(StandardName[RankValueInTheRanking],StandardName[StandardizedName],QS_Webometrics[[#This Row],[Nazwa uczelni]],StandardName[Ranking],$V$1)=0,$N$3,SUMIFS(StandardName[RankValueInTheRanking],StandardName[StandardizedName],QS_Webometrics[[#This Row],[Nazwa uczelni]],StandardName[Ranking],$V$1))</f>
        <v>250</v>
      </c>
      <c r="W667" s="2">
        <f>IF(SUMIFS(StandardName[RankValueInTheRanking],StandardName[StandardizedName],QS_Webometrics[[#This Row],[Nazwa uczelni]],StandardName[Ranking],$W$1)=0,$N$3,SUMIFS(StandardName[RankValueInTheRanking],StandardName[StandardizedName],QS_Webometrics[[#This Row],[Nazwa uczelni]],StandardName[Ranking],$W$1))</f>
        <v>38</v>
      </c>
      <c r="X667" s="2">
        <f>IF(SUMIFS(StandardName[RankValueInTheRanking],StandardName[StandardizedName],QS_Webometrics[[#This Row],[Nazwa uczelni]],StandardName[Ranking],$X$1)=0,$N$3,SUMIFS(StandardName[RankValueInTheRanking],StandardName[StandardizedName],QS_Webometrics[[#This Row],[Nazwa uczelni]],StandardName[Ranking],$X$1))</f>
        <v>81</v>
      </c>
      <c r="Y667" s="2">
        <f>SUM(QS_Webometrics[[#This Row],[THE_RV1000]:[Webometrics_RV1000]])</f>
        <v>414</v>
      </c>
      <c r="Z667" s="2">
        <v>45</v>
      </c>
      <c r="AA667" s="2">
        <v>0</v>
      </c>
      <c r="AB667" s="2">
        <v>38</v>
      </c>
      <c r="AC667" s="2">
        <v>81</v>
      </c>
    </row>
    <row r="668" spans="15:29" outlineLevel="1" x14ac:dyDescent="0.45">
      <c r="O668" s="1" t="s">
        <v>216</v>
      </c>
      <c r="P668" s="1">
        <v>1</v>
      </c>
      <c r="Q668" s="1">
        <v>0</v>
      </c>
      <c r="R668" s="1">
        <v>1</v>
      </c>
      <c r="S668" s="1">
        <v>1</v>
      </c>
      <c r="T668" s="1">
        <v>3</v>
      </c>
      <c r="U668" s="2">
        <f>IF(SUMIFS(StandardName[RankValueInTheRanking],StandardName[StandardizedName],QS_Webometrics[[#This Row],[Nazwa uczelni]],StandardName[Ranking],$U$1)=0,$N$3,SUMIFS(StandardName[RankValueInTheRanking],StandardName[StandardizedName],QS_Webometrics[[#This Row],[Nazwa uczelni]],StandardName[Ranking],$U$1))</f>
        <v>38</v>
      </c>
      <c r="V668" s="2">
        <f>IF(SUMIFS(StandardName[RankValueInTheRanking],StandardName[StandardizedName],QS_Webometrics[[#This Row],[Nazwa uczelni]],StandardName[Ranking],$V$1)=0,$N$3,SUMIFS(StandardName[RankValueInTheRanking],StandardName[StandardizedName],QS_Webometrics[[#This Row],[Nazwa uczelni]],StandardName[Ranking],$V$1))</f>
        <v>250</v>
      </c>
      <c r="W668" s="2">
        <f>IF(SUMIFS(StandardName[RankValueInTheRanking],StandardName[StandardizedName],QS_Webometrics[[#This Row],[Nazwa uczelni]],StandardName[Ranking],$W$1)=0,$N$3,SUMIFS(StandardName[RankValueInTheRanking],StandardName[StandardizedName],QS_Webometrics[[#This Row],[Nazwa uczelni]],StandardName[Ranking],$W$1))</f>
        <v>88</v>
      </c>
      <c r="X668" s="2">
        <f>IF(SUMIFS(StandardName[RankValueInTheRanking],StandardName[StandardizedName],QS_Webometrics[[#This Row],[Nazwa uczelni]],StandardName[Ranking],$X$1)=0,$N$3,SUMIFS(StandardName[RankValueInTheRanking],StandardName[StandardizedName],QS_Webometrics[[#This Row],[Nazwa uczelni]],StandardName[Ranking],$X$1))</f>
        <v>62</v>
      </c>
      <c r="Y668" s="2">
        <f>SUM(QS_Webometrics[[#This Row],[THE_RV1000]:[Webometrics_RV1000]])</f>
        <v>438</v>
      </c>
      <c r="Z668" s="1">
        <v>38</v>
      </c>
      <c r="AA668" s="1">
        <v>0</v>
      </c>
      <c r="AB668" s="1">
        <v>88</v>
      </c>
      <c r="AC668" s="1">
        <v>62</v>
      </c>
    </row>
    <row r="669" spans="15:29" outlineLevel="1" x14ac:dyDescent="0.45">
      <c r="O669" s="2" t="s">
        <v>326</v>
      </c>
      <c r="P669" s="2">
        <v>1</v>
      </c>
      <c r="Q669" s="2">
        <v>0</v>
      </c>
      <c r="R669" s="2">
        <v>1</v>
      </c>
      <c r="S669" s="2">
        <v>1</v>
      </c>
      <c r="T669" s="2">
        <v>3</v>
      </c>
      <c r="U669" s="2">
        <f>IF(SUMIFS(StandardName[RankValueInTheRanking],StandardName[StandardizedName],QS_Webometrics[[#This Row],[Nazwa uczelni]],StandardName[Ranking],$U$1)=0,$N$3,SUMIFS(StandardName[RankValueInTheRanking],StandardName[StandardizedName],QS_Webometrics[[#This Row],[Nazwa uczelni]],StandardName[Ranking],$U$1))</f>
        <v>60</v>
      </c>
      <c r="V669" s="2">
        <f>IF(SUMIFS(StandardName[RankValueInTheRanking],StandardName[StandardizedName],QS_Webometrics[[#This Row],[Nazwa uczelni]],StandardName[Ranking],$V$1)=0,$N$3,SUMIFS(StandardName[RankValueInTheRanking],StandardName[StandardizedName],QS_Webometrics[[#This Row],[Nazwa uczelni]],StandardName[Ranking],$V$1))</f>
        <v>250</v>
      </c>
      <c r="W669" s="2">
        <f>IF(SUMIFS(StandardName[RankValueInTheRanking],StandardName[StandardizedName],QS_Webometrics[[#This Row],[Nazwa uczelni]],StandardName[Ranking],$W$1)=0,$N$3,SUMIFS(StandardName[RankValueInTheRanking],StandardName[StandardizedName],QS_Webometrics[[#This Row],[Nazwa uczelni]],StandardName[Ranking],$W$1))</f>
        <v>58</v>
      </c>
      <c r="X669" s="2">
        <f>IF(SUMIFS(StandardName[RankValueInTheRanking],StandardName[StandardizedName],QS_Webometrics[[#This Row],[Nazwa uczelni]],StandardName[Ranking],$X$1)=0,$N$3,SUMIFS(StandardName[RankValueInTheRanking],StandardName[StandardizedName],QS_Webometrics[[#This Row],[Nazwa uczelni]],StandardName[Ranking],$X$1))</f>
        <v>73</v>
      </c>
      <c r="Y669" s="2">
        <f>SUM(QS_Webometrics[[#This Row],[THE_RV1000]:[Webometrics_RV1000]])</f>
        <v>441</v>
      </c>
      <c r="Z669" s="2">
        <v>60</v>
      </c>
      <c r="AA669" s="2">
        <v>0</v>
      </c>
      <c r="AB669" s="2">
        <v>58</v>
      </c>
      <c r="AC669" s="2">
        <v>73</v>
      </c>
    </row>
    <row r="670" spans="15:29" outlineLevel="1" x14ac:dyDescent="0.45">
      <c r="O670" s="1" t="s">
        <v>545</v>
      </c>
      <c r="P670" s="1">
        <v>0</v>
      </c>
      <c r="Q670" s="1">
        <v>1</v>
      </c>
      <c r="R670" s="1">
        <v>1</v>
      </c>
      <c r="S670" s="1">
        <v>1</v>
      </c>
      <c r="T670" s="1">
        <v>3</v>
      </c>
      <c r="U670" s="2">
        <f>IF(SUMIFS(StandardName[RankValueInTheRanking],StandardName[StandardizedName],QS_Webometrics[[#This Row],[Nazwa uczelni]],StandardName[Ranking],$U$1)=0,$N$3,SUMIFS(StandardName[RankValueInTheRanking],StandardName[StandardizedName],QS_Webometrics[[#This Row],[Nazwa uczelni]],StandardName[Ranking],$U$1))</f>
        <v>250</v>
      </c>
      <c r="V670" s="2">
        <f>IF(SUMIFS(StandardName[RankValueInTheRanking],StandardName[StandardizedName],QS_Webometrics[[#This Row],[Nazwa uczelni]],StandardName[Ranking],$V$1)=0,$N$3,SUMIFS(StandardName[RankValueInTheRanking],StandardName[StandardizedName],QS_Webometrics[[#This Row],[Nazwa uczelni]],StandardName[Ranking],$V$1))</f>
        <v>39</v>
      </c>
      <c r="W670" s="2">
        <f>IF(SUMIFS(StandardName[RankValueInTheRanking],StandardName[StandardizedName],QS_Webometrics[[#This Row],[Nazwa uczelni]],StandardName[Ranking],$W$1)=0,$N$3,SUMIFS(StandardName[RankValueInTheRanking],StandardName[StandardizedName],QS_Webometrics[[#This Row],[Nazwa uczelni]],StandardName[Ranking],$W$1))</f>
        <v>82</v>
      </c>
      <c r="X670" s="2">
        <f>IF(SUMIFS(StandardName[RankValueInTheRanking],StandardName[StandardizedName],QS_Webometrics[[#This Row],[Nazwa uczelni]],StandardName[Ranking],$X$1)=0,$N$3,SUMIFS(StandardName[RankValueInTheRanking],StandardName[StandardizedName],QS_Webometrics[[#This Row],[Nazwa uczelni]],StandardName[Ranking],$X$1))</f>
        <v>74</v>
      </c>
      <c r="Y670" s="2">
        <f>SUM(QS_Webometrics[[#This Row],[THE_RV1000]:[Webometrics_RV1000]])</f>
        <v>445</v>
      </c>
      <c r="Z670" s="1">
        <v>0</v>
      </c>
      <c r="AA670" s="1">
        <v>39</v>
      </c>
      <c r="AB670" s="1">
        <v>82</v>
      </c>
      <c r="AC670" s="1">
        <v>74</v>
      </c>
    </row>
    <row r="671" spans="15:29" outlineLevel="1" x14ac:dyDescent="0.45">
      <c r="O671" s="2" t="s">
        <v>369</v>
      </c>
      <c r="P671" s="2">
        <v>1</v>
      </c>
      <c r="Q671" s="2">
        <v>0</v>
      </c>
      <c r="R671" s="2">
        <v>1</v>
      </c>
      <c r="S671" s="2">
        <v>1</v>
      </c>
      <c r="T671" s="2">
        <v>3</v>
      </c>
      <c r="U671" s="2">
        <f>IF(SUMIFS(StandardName[RankValueInTheRanking],StandardName[StandardizedName],QS_Webometrics[[#This Row],[Nazwa uczelni]],StandardName[Ranking],$U$1)=0,$N$3,SUMIFS(StandardName[RankValueInTheRanking],StandardName[StandardizedName],QS_Webometrics[[#This Row],[Nazwa uczelni]],StandardName[Ranking],$U$1))</f>
        <v>70</v>
      </c>
      <c r="V671" s="2">
        <f>IF(SUMIFS(StandardName[RankValueInTheRanking],StandardName[StandardizedName],QS_Webometrics[[#This Row],[Nazwa uczelni]],StandardName[Ranking],$V$1)=0,$N$3,SUMIFS(StandardName[RankValueInTheRanking],StandardName[StandardizedName],QS_Webometrics[[#This Row],[Nazwa uczelni]],StandardName[Ranking],$V$1))</f>
        <v>250</v>
      </c>
      <c r="W671" s="2">
        <f>IF(SUMIFS(StandardName[RankValueInTheRanking],StandardName[StandardizedName],QS_Webometrics[[#This Row],[Nazwa uczelni]],StandardName[Ranking],$W$1)=0,$N$3,SUMIFS(StandardName[RankValueInTheRanking],StandardName[StandardizedName],QS_Webometrics[[#This Row],[Nazwa uczelni]],StandardName[Ranking],$W$1))</f>
        <v>61</v>
      </c>
      <c r="X671" s="2">
        <f>IF(SUMIFS(StandardName[RankValueInTheRanking],StandardName[StandardizedName],QS_Webometrics[[#This Row],[Nazwa uczelni]],StandardName[Ranking],$X$1)=0,$N$3,SUMIFS(StandardName[RankValueInTheRanking],StandardName[StandardizedName],QS_Webometrics[[#This Row],[Nazwa uczelni]],StandardName[Ranking],$X$1))</f>
        <v>94</v>
      </c>
      <c r="Y671" s="2">
        <f>SUM(QS_Webometrics[[#This Row],[THE_RV1000]:[Webometrics_RV1000]])</f>
        <v>475</v>
      </c>
      <c r="Z671" s="2">
        <v>70</v>
      </c>
      <c r="AA671" s="2">
        <v>0</v>
      </c>
      <c r="AB671" s="2">
        <v>61</v>
      </c>
      <c r="AC671" s="2">
        <v>94</v>
      </c>
    </row>
    <row r="672" spans="15:29" outlineLevel="1" x14ac:dyDescent="0.45">
      <c r="O672" s="1" t="s">
        <v>474</v>
      </c>
      <c r="P672" s="1">
        <v>1</v>
      </c>
      <c r="Q672" s="1">
        <v>0</v>
      </c>
      <c r="R672" s="1">
        <v>1</v>
      </c>
      <c r="S672" s="1">
        <v>1</v>
      </c>
      <c r="T672" s="1">
        <v>3</v>
      </c>
      <c r="U672" s="2">
        <f>IF(SUMIFS(StandardName[RankValueInTheRanking],StandardName[StandardizedName],QS_Webometrics[[#This Row],[Nazwa uczelni]],StandardName[Ranking],$U$1)=0,$N$3,SUMIFS(StandardName[RankValueInTheRanking],StandardName[StandardizedName],QS_Webometrics[[#This Row],[Nazwa uczelni]],StandardName[Ranking],$U$1))</f>
        <v>99</v>
      </c>
      <c r="V672" s="2">
        <f>IF(SUMIFS(StandardName[RankValueInTheRanking],StandardName[StandardizedName],QS_Webometrics[[#This Row],[Nazwa uczelni]],StandardName[Ranking],$V$1)=0,$N$3,SUMIFS(StandardName[RankValueInTheRanking],StandardName[StandardizedName],QS_Webometrics[[#This Row],[Nazwa uczelni]],StandardName[Ranking],$V$1))</f>
        <v>250</v>
      </c>
      <c r="W672" s="2">
        <f>IF(SUMIFS(StandardName[RankValueInTheRanking],StandardName[StandardizedName],QS_Webometrics[[#This Row],[Nazwa uczelni]],StandardName[Ranking],$W$1)=0,$N$3,SUMIFS(StandardName[RankValueInTheRanking],StandardName[StandardizedName],QS_Webometrics[[#This Row],[Nazwa uczelni]],StandardName[Ranking],$W$1))</f>
        <v>54</v>
      </c>
      <c r="X672" s="2">
        <f>IF(SUMIFS(StandardName[RankValueInTheRanking],StandardName[StandardizedName],QS_Webometrics[[#This Row],[Nazwa uczelni]],StandardName[Ranking],$X$1)=0,$N$3,SUMIFS(StandardName[RankValueInTheRanking],StandardName[StandardizedName],QS_Webometrics[[#This Row],[Nazwa uczelni]],StandardName[Ranking],$X$1))</f>
        <v>89</v>
      </c>
      <c r="Y672" s="2">
        <f>SUM(QS_Webometrics[[#This Row],[THE_RV1000]:[Webometrics_RV1000]])</f>
        <v>492</v>
      </c>
      <c r="Z672" s="1">
        <v>99</v>
      </c>
      <c r="AA672" s="1">
        <v>0</v>
      </c>
      <c r="AB672" s="1">
        <v>54</v>
      </c>
      <c r="AC672" s="1">
        <v>89</v>
      </c>
    </row>
    <row r="673" spans="15:29" outlineLevel="1" x14ac:dyDescent="0.45">
      <c r="O673" s="2" t="s">
        <v>765</v>
      </c>
      <c r="P673" s="2">
        <v>0</v>
      </c>
      <c r="Q673" s="2">
        <v>0</v>
      </c>
      <c r="R673" s="2">
        <v>1</v>
      </c>
      <c r="S673" s="2">
        <v>1</v>
      </c>
      <c r="T673" s="2">
        <v>2</v>
      </c>
      <c r="U673" s="2">
        <f>IF(SUMIFS(StandardName[RankValueInTheRanking],StandardName[StandardizedName],QS_Webometrics[[#This Row],[Nazwa uczelni]],StandardName[Ranking],$U$1)=0,$N$3,SUMIFS(StandardName[RankValueInTheRanking],StandardName[StandardizedName],QS_Webometrics[[#This Row],[Nazwa uczelni]],StandardName[Ranking],$U$1))</f>
        <v>250</v>
      </c>
      <c r="V673" s="2">
        <f>IF(SUMIFS(StandardName[RankValueInTheRanking],StandardName[StandardizedName],QS_Webometrics[[#This Row],[Nazwa uczelni]],StandardName[Ranking],$V$1)=0,$N$3,SUMIFS(StandardName[RankValueInTheRanking],StandardName[StandardizedName],QS_Webometrics[[#This Row],[Nazwa uczelni]],StandardName[Ranking],$V$1))</f>
        <v>250</v>
      </c>
      <c r="W673" s="2">
        <f>IF(SUMIFS(StandardName[RankValueInTheRanking],StandardName[StandardizedName],QS_Webometrics[[#This Row],[Nazwa uczelni]],StandardName[Ranking],$W$1)=0,$N$3,SUMIFS(StandardName[RankValueInTheRanking],StandardName[StandardizedName],QS_Webometrics[[#This Row],[Nazwa uczelni]],StandardName[Ranking],$W$1))</f>
        <v>93</v>
      </c>
      <c r="X673" s="2">
        <f>IF(SUMIFS(StandardName[RankValueInTheRanking],StandardName[StandardizedName],QS_Webometrics[[#This Row],[Nazwa uczelni]],StandardName[Ranking],$X$1)=0,$N$3,SUMIFS(StandardName[RankValueInTheRanking],StandardName[StandardizedName],QS_Webometrics[[#This Row],[Nazwa uczelni]],StandardName[Ranking],$X$1))</f>
        <v>19</v>
      </c>
      <c r="Y673" s="2">
        <f>SUM(QS_Webometrics[[#This Row],[THE_RV1000]:[Webometrics_RV1000]])</f>
        <v>612</v>
      </c>
      <c r="Z673" s="2">
        <v>0</v>
      </c>
      <c r="AA673" s="2">
        <v>0</v>
      </c>
      <c r="AB673" s="2">
        <v>93</v>
      </c>
      <c r="AC673" s="2">
        <v>19</v>
      </c>
    </row>
    <row r="674" spans="15:29" outlineLevel="1" x14ac:dyDescent="0.45">
      <c r="O674" s="8" t="s">
        <v>749</v>
      </c>
      <c r="P674" s="8">
        <v>0</v>
      </c>
      <c r="Q674" s="8">
        <v>0</v>
      </c>
      <c r="R674" s="8">
        <v>1</v>
      </c>
      <c r="S674" s="8">
        <v>1</v>
      </c>
      <c r="T674" s="8">
        <v>2</v>
      </c>
      <c r="U674" s="2">
        <f>IF(SUMIFS(StandardName[RankValueInTheRanking],StandardName[StandardizedName],QS_Webometrics[[#This Row],[Nazwa uczelni]],StandardName[Ranking],$U$1)=0,$N$3,SUMIFS(StandardName[RankValueInTheRanking],StandardName[StandardizedName],QS_Webometrics[[#This Row],[Nazwa uczelni]],StandardName[Ranking],$U$1))</f>
        <v>250</v>
      </c>
      <c r="V674" s="2">
        <f>IF(SUMIFS(StandardName[RankValueInTheRanking],StandardName[StandardizedName],QS_Webometrics[[#This Row],[Nazwa uczelni]],StandardName[Ranking],$V$1)=0,$N$3,SUMIFS(StandardName[RankValueInTheRanking],StandardName[StandardizedName],QS_Webometrics[[#This Row],[Nazwa uczelni]],StandardName[Ranking],$V$1))</f>
        <v>250</v>
      </c>
      <c r="W674" s="2">
        <f>IF(SUMIFS(StandardName[RankValueInTheRanking],StandardName[StandardizedName],QS_Webometrics[[#This Row],[Nazwa uczelni]],StandardName[Ranking],$W$1)=0,$N$3,SUMIFS(StandardName[RankValueInTheRanking],StandardName[StandardizedName],QS_Webometrics[[#This Row],[Nazwa uczelni]],StandardName[Ranking],$W$1))</f>
        <v>86</v>
      </c>
      <c r="X674" s="2">
        <f>IF(SUMIFS(StandardName[RankValueInTheRanking],StandardName[StandardizedName],QS_Webometrics[[#This Row],[Nazwa uczelni]],StandardName[Ranking],$X$1)=0,$N$3,SUMIFS(StandardName[RankValueInTheRanking],StandardName[StandardizedName],QS_Webometrics[[#This Row],[Nazwa uczelni]],StandardName[Ranking],$X$1))</f>
        <v>88</v>
      </c>
      <c r="Y674" s="2">
        <f>SUM(QS_Webometrics[[#This Row],[THE_RV1000]:[Webometrics_RV1000]])</f>
        <v>674</v>
      </c>
      <c r="Z674" s="8">
        <v>0</v>
      </c>
      <c r="AA674" s="8">
        <v>0</v>
      </c>
      <c r="AB674" s="8">
        <v>86</v>
      </c>
      <c r="AC674" s="8">
        <v>88</v>
      </c>
    </row>
    <row r="676" spans="15:29" x14ac:dyDescent="0.45">
      <c r="O676" t="s">
        <v>891</v>
      </c>
    </row>
    <row r="677" spans="15:29" x14ac:dyDescent="0.45">
      <c r="O677" s="7" t="s">
        <v>855</v>
      </c>
      <c r="P677" s="7" t="s">
        <v>846</v>
      </c>
      <c r="Q677" s="7" t="s">
        <v>848</v>
      </c>
      <c r="R677" s="7" t="s">
        <v>849</v>
      </c>
      <c r="S677" s="7" t="s">
        <v>850</v>
      </c>
      <c r="T677" s="7" t="s">
        <v>861</v>
      </c>
      <c r="U677" s="7" t="s">
        <v>875</v>
      </c>
      <c r="V677" s="7" t="s">
        <v>876</v>
      </c>
      <c r="W677" s="7" t="s">
        <v>877</v>
      </c>
      <c r="X677" s="7" t="s">
        <v>878</v>
      </c>
      <c r="Y677" s="7" t="s">
        <v>874</v>
      </c>
      <c r="Z677" s="7" t="s">
        <v>870</v>
      </c>
      <c r="AA677" s="7" t="s">
        <v>871</v>
      </c>
      <c r="AB677" s="7" t="s">
        <v>872</v>
      </c>
      <c r="AC677" s="7" t="s">
        <v>873</v>
      </c>
    </row>
    <row r="678" spans="15:29" outlineLevel="1" x14ac:dyDescent="0.45">
      <c r="O678" s="1" t="s">
        <v>8</v>
      </c>
      <c r="P678" s="1">
        <v>1</v>
      </c>
      <c r="Q678" s="1">
        <v>1</v>
      </c>
      <c r="R678" s="1">
        <v>1</v>
      </c>
      <c r="S678" s="1">
        <v>1</v>
      </c>
      <c r="T678" s="1">
        <v>4</v>
      </c>
      <c r="U678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2</v>
      </c>
      <c r="V678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1</v>
      </c>
      <c r="W678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5</v>
      </c>
      <c r="X678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1</v>
      </c>
      <c r="Y678" s="2">
        <f>SUM(THE_RV1000[[#This Row],[THE_RV1000]:[Webometrics_RV1000]])</f>
        <v>9</v>
      </c>
      <c r="Z678" s="1">
        <v>2</v>
      </c>
      <c r="AA678" s="1">
        <v>1</v>
      </c>
      <c r="AB678" s="1">
        <v>5</v>
      </c>
      <c r="AC678" s="1">
        <v>1</v>
      </c>
    </row>
    <row r="679" spans="15:29" outlineLevel="1" x14ac:dyDescent="0.45">
      <c r="O679" s="2" t="s">
        <v>21</v>
      </c>
      <c r="P679" s="2">
        <v>1</v>
      </c>
      <c r="Q679" s="2">
        <v>1</v>
      </c>
      <c r="R679" s="2">
        <v>1</v>
      </c>
      <c r="S679" s="2">
        <v>1</v>
      </c>
      <c r="T679" s="2">
        <v>4</v>
      </c>
      <c r="U679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3</v>
      </c>
      <c r="V679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2</v>
      </c>
      <c r="W679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3</v>
      </c>
      <c r="X679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2</v>
      </c>
      <c r="Y679" s="2">
        <f>SUM(THE_RV1000[[#This Row],[THE_RV1000]:[Webometrics_RV1000]])</f>
        <v>10</v>
      </c>
      <c r="Z679" s="2">
        <v>3</v>
      </c>
      <c r="AA679" s="2">
        <v>2</v>
      </c>
      <c r="AB679" s="2">
        <v>3</v>
      </c>
      <c r="AC679" s="2">
        <v>2</v>
      </c>
    </row>
    <row r="680" spans="15:29" outlineLevel="1" x14ac:dyDescent="0.45">
      <c r="O680" s="1" t="s">
        <v>27</v>
      </c>
      <c r="P680" s="1">
        <v>1</v>
      </c>
      <c r="Q680" s="1">
        <v>1</v>
      </c>
      <c r="R680" s="1">
        <v>1</v>
      </c>
      <c r="S680" s="1">
        <v>1</v>
      </c>
      <c r="T680" s="1">
        <v>4</v>
      </c>
      <c r="U680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5</v>
      </c>
      <c r="V680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3</v>
      </c>
      <c r="W680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1</v>
      </c>
      <c r="X680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3</v>
      </c>
      <c r="Y680" s="2">
        <f>SUM(THE_RV1000[[#This Row],[THE_RV1000]:[Webometrics_RV1000]])</f>
        <v>12</v>
      </c>
      <c r="Z680" s="1">
        <v>5</v>
      </c>
      <c r="AA680" s="1">
        <v>3</v>
      </c>
      <c r="AB680" s="1">
        <v>1</v>
      </c>
      <c r="AC680" s="1">
        <v>3</v>
      </c>
    </row>
    <row r="681" spans="15:29" outlineLevel="1" x14ac:dyDescent="0.45">
      <c r="O681" s="2" t="s">
        <v>0</v>
      </c>
      <c r="P681" s="2">
        <v>1</v>
      </c>
      <c r="Q681" s="2">
        <v>1</v>
      </c>
      <c r="R681" s="2">
        <v>1</v>
      </c>
      <c r="S681" s="2">
        <v>1</v>
      </c>
      <c r="T681" s="2">
        <v>4</v>
      </c>
      <c r="U681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1</v>
      </c>
      <c r="V681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7</v>
      </c>
      <c r="W681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4</v>
      </c>
      <c r="X681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5</v>
      </c>
      <c r="Y681" s="2">
        <f>SUM(THE_RV1000[[#This Row],[THE_RV1000]:[Webometrics_RV1000]])</f>
        <v>17</v>
      </c>
      <c r="Z681" s="2">
        <v>1</v>
      </c>
      <c r="AA681" s="2">
        <v>7</v>
      </c>
      <c r="AB681" s="2">
        <v>4</v>
      </c>
      <c r="AC681" s="2">
        <v>5</v>
      </c>
    </row>
    <row r="682" spans="15:29" outlineLevel="1" x14ac:dyDescent="0.45">
      <c r="O682" s="1" t="s">
        <v>15</v>
      </c>
      <c r="P682" s="1">
        <v>1</v>
      </c>
      <c r="Q682" s="1">
        <v>1</v>
      </c>
      <c r="R682" s="1">
        <v>1</v>
      </c>
      <c r="S682" s="1">
        <v>1</v>
      </c>
      <c r="T682" s="1">
        <v>4</v>
      </c>
      <c r="U682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3</v>
      </c>
      <c r="V682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4</v>
      </c>
      <c r="W682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2</v>
      </c>
      <c r="X682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12</v>
      </c>
      <c r="Y682" s="2">
        <f>SUM(THE_RV1000[[#This Row],[THE_RV1000]:[Webometrics_RV1000]])</f>
        <v>21</v>
      </c>
      <c r="Z682" s="1">
        <v>3</v>
      </c>
      <c r="AA682" s="1">
        <v>4</v>
      </c>
      <c r="AB682" s="1">
        <v>2</v>
      </c>
      <c r="AC682" s="1">
        <v>12</v>
      </c>
    </row>
    <row r="683" spans="15:29" outlineLevel="1" x14ac:dyDescent="0.45">
      <c r="O683" s="2" t="s">
        <v>792</v>
      </c>
      <c r="P683" s="2">
        <v>1</v>
      </c>
      <c r="Q683" s="2">
        <v>1</v>
      </c>
      <c r="R683" s="2">
        <v>1</v>
      </c>
      <c r="S683" s="2">
        <v>1</v>
      </c>
      <c r="T683" s="2">
        <v>4</v>
      </c>
      <c r="U683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8</v>
      </c>
      <c r="V683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5</v>
      </c>
      <c r="W683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27</v>
      </c>
      <c r="X683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4</v>
      </c>
      <c r="Y683" s="2">
        <f>SUM(THE_RV1000[[#This Row],[THE_RV1000]:[Webometrics_RV1000]])</f>
        <v>44</v>
      </c>
      <c r="Z683" s="2">
        <v>8</v>
      </c>
      <c r="AA683" s="2">
        <v>5</v>
      </c>
      <c r="AB683" s="2">
        <v>27</v>
      </c>
      <c r="AC683" s="2">
        <v>4</v>
      </c>
    </row>
    <row r="684" spans="15:29" outlineLevel="1" x14ac:dyDescent="0.45">
      <c r="O684" s="1" t="s">
        <v>61</v>
      </c>
      <c r="P684" s="1">
        <v>1</v>
      </c>
      <c r="Q684" s="1">
        <v>1</v>
      </c>
      <c r="R684" s="1">
        <v>1</v>
      </c>
      <c r="S684" s="1">
        <v>1</v>
      </c>
      <c r="T684" s="1">
        <v>4</v>
      </c>
      <c r="U684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11</v>
      </c>
      <c r="V684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8</v>
      </c>
      <c r="W684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22</v>
      </c>
      <c r="X684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9</v>
      </c>
      <c r="Y684" s="2">
        <f>SUM(THE_RV1000[[#This Row],[THE_RV1000]:[Webometrics_RV1000]])</f>
        <v>50</v>
      </c>
      <c r="Z684" s="1">
        <v>11</v>
      </c>
      <c r="AA684" s="1">
        <v>8</v>
      </c>
      <c r="AB684" s="1">
        <v>22</v>
      </c>
      <c r="AC684" s="1">
        <v>9</v>
      </c>
    </row>
    <row r="685" spans="15:29" outlineLevel="1" x14ac:dyDescent="0.45">
      <c r="O685" s="2" t="s">
        <v>48</v>
      </c>
      <c r="P685" s="2">
        <v>1</v>
      </c>
      <c r="Q685" s="2">
        <v>1</v>
      </c>
      <c r="R685" s="2">
        <v>1</v>
      </c>
      <c r="S685" s="2">
        <v>1</v>
      </c>
      <c r="T685" s="2">
        <v>4</v>
      </c>
      <c r="U685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9</v>
      </c>
      <c r="V685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11</v>
      </c>
      <c r="W685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18</v>
      </c>
      <c r="X685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14</v>
      </c>
      <c r="Y685" s="2">
        <f>SUM(THE_RV1000[[#This Row],[THE_RV1000]:[Webometrics_RV1000]])</f>
        <v>52</v>
      </c>
      <c r="Z685" s="2">
        <v>9</v>
      </c>
      <c r="AA685" s="2">
        <v>11</v>
      </c>
      <c r="AB685" s="2">
        <v>18</v>
      </c>
      <c r="AC685" s="2">
        <v>14</v>
      </c>
    </row>
    <row r="686" spans="15:29" outlineLevel="1" x14ac:dyDescent="0.45">
      <c r="O686" s="1" t="s">
        <v>79</v>
      </c>
      <c r="P686" s="1">
        <v>1</v>
      </c>
      <c r="Q686" s="1">
        <v>1</v>
      </c>
      <c r="R686" s="1">
        <v>1</v>
      </c>
      <c r="S686" s="1">
        <v>1</v>
      </c>
      <c r="T686" s="1">
        <v>4</v>
      </c>
      <c r="U686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14</v>
      </c>
      <c r="V686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15</v>
      </c>
      <c r="W686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13</v>
      </c>
      <c r="X686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11</v>
      </c>
      <c r="Y686" s="2">
        <f>SUM(THE_RV1000[[#This Row],[THE_RV1000]:[Webometrics_RV1000]])</f>
        <v>53</v>
      </c>
      <c r="Z686" s="1">
        <v>14</v>
      </c>
      <c r="AA686" s="1">
        <v>15</v>
      </c>
      <c r="AB686" s="1">
        <v>13</v>
      </c>
      <c r="AC686" s="1">
        <v>11</v>
      </c>
    </row>
    <row r="687" spans="15:29" outlineLevel="1" x14ac:dyDescent="0.45">
      <c r="O687" s="2" t="s">
        <v>36</v>
      </c>
      <c r="P687" s="2">
        <v>1</v>
      </c>
      <c r="Q687" s="2">
        <v>1</v>
      </c>
      <c r="R687" s="2">
        <v>1</v>
      </c>
      <c r="S687" s="2">
        <v>1</v>
      </c>
      <c r="T687" s="2">
        <v>4</v>
      </c>
      <c r="U687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7</v>
      </c>
      <c r="V687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6</v>
      </c>
      <c r="W687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16</v>
      </c>
      <c r="X687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26</v>
      </c>
      <c r="Y687" s="2">
        <f>SUM(THE_RV1000[[#This Row],[THE_RV1000]:[Webometrics_RV1000]])</f>
        <v>55</v>
      </c>
      <c r="Z687" s="2">
        <v>7</v>
      </c>
      <c r="AA687" s="2">
        <v>6</v>
      </c>
      <c r="AB687" s="2">
        <v>16</v>
      </c>
      <c r="AC687" s="2">
        <v>26</v>
      </c>
    </row>
    <row r="688" spans="15:29" outlineLevel="1" x14ac:dyDescent="0.45">
      <c r="O688" s="1" t="s">
        <v>118</v>
      </c>
      <c r="P688" s="1">
        <v>1</v>
      </c>
      <c r="Q688" s="1">
        <v>1</v>
      </c>
      <c r="R688" s="1">
        <v>1</v>
      </c>
      <c r="S688" s="1">
        <v>1</v>
      </c>
      <c r="T688" s="1">
        <v>4</v>
      </c>
      <c r="U688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20</v>
      </c>
      <c r="V688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12</v>
      </c>
      <c r="W688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20</v>
      </c>
      <c r="X688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8</v>
      </c>
      <c r="Y688" s="2">
        <f>SUM(THE_RV1000[[#This Row],[THE_RV1000]:[Webometrics_RV1000]])</f>
        <v>60</v>
      </c>
      <c r="Z688" s="1">
        <v>20</v>
      </c>
      <c r="AA688" s="1">
        <v>12</v>
      </c>
      <c r="AB688" s="1">
        <v>20</v>
      </c>
      <c r="AC688" s="1">
        <v>8</v>
      </c>
    </row>
    <row r="689" spans="15:29" outlineLevel="1" x14ac:dyDescent="0.45">
      <c r="O689" s="2" t="s">
        <v>501</v>
      </c>
      <c r="P689" s="2">
        <v>1</v>
      </c>
      <c r="Q689" s="2">
        <v>1</v>
      </c>
      <c r="R689" s="2">
        <v>1</v>
      </c>
      <c r="S689" s="2">
        <v>1</v>
      </c>
      <c r="T689" s="2">
        <v>4</v>
      </c>
      <c r="U689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13</v>
      </c>
      <c r="V689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10</v>
      </c>
      <c r="W689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10</v>
      </c>
      <c r="X689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29</v>
      </c>
      <c r="Y689" s="2">
        <f>SUM(THE_RV1000[[#This Row],[THE_RV1000]:[Webometrics_RV1000]])</f>
        <v>62</v>
      </c>
      <c r="Z689" s="2">
        <v>13</v>
      </c>
      <c r="AA689" s="2">
        <v>10</v>
      </c>
      <c r="AB689" s="2">
        <v>10</v>
      </c>
      <c r="AC689" s="2">
        <v>29</v>
      </c>
    </row>
    <row r="690" spans="15:29" outlineLevel="1" x14ac:dyDescent="0.45">
      <c r="O690" s="1" t="s">
        <v>83</v>
      </c>
      <c r="P690" s="1">
        <v>1</v>
      </c>
      <c r="Q690" s="1">
        <v>1</v>
      </c>
      <c r="R690" s="1">
        <v>1</v>
      </c>
      <c r="S690" s="1">
        <v>1</v>
      </c>
      <c r="T690" s="1">
        <v>4</v>
      </c>
      <c r="U690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15</v>
      </c>
      <c r="V690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14</v>
      </c>
      <c r="W690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24</v>
      </c>
      <c r="X690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10</v>
      </c>
      <c r="Y690" s="2">
        <f>SUM(THE_RV1000[[#This Row],[THE_RV1000]:[Webometrics_RV1000]])</f>
        <v>63</v>
      </c>
      <c r="Z690" s="1">
        <v>15</v>
      </c>
      <c r="AA690" s="1">
        <v>14</v>
      </c>
      <c r="AB690" s="1">
        <v>24</v>
      </c>
      <c r="AC690" s="1">
        <v>10</v>
      </c>
    </row>
    <row r="691" spans="15:29" outlineLevel="1" x14ac:dyDescent="0.45">
      <c r="O691" s="2" t="s">
        <v>796</v>
      </c>
      <c r="P691" s="2">
        <v>1</v>
      </c>
      <c r="Q691" s="2">
        <v>1</v>
      </c>
      <c r="R691" s="2">
        <v>1</v>
      </c>
      <c r="S691" s="2">
        <v>1</v>
      </c>
      <c r="T691" s="2">
        <v>4</v>
      </c>
      <c r="U691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22</v>
      </c>
      <c r="V691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18</v>
      </c>
      <c r="W691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8</v>
      </c>
      <c r="X691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15</v>
      </c>
      <c r="Y691" s="2">
        <f>SUM(THE_RV1000[[#This Row],[THE_RV1000]:[Webometrics_RV1000]])</f>
        <v>63</v>
      </c>
      <c r="Z691" s="2">
        <v>22</v>
      </c>
      <c r="AA691" s="2">
        <v>18</v>
      </c>
      <c r="AB691" s="2">
        <v>8</v>
      </c>
      <c r="AC691" s="2">
        <v>15</v>
      </c>
    </row>
    <row r="692" spans="15:29" outlineLevel="1" x14ac:dyDescent="0.45">
      <c r="O692" s="1" t="s">
        <v>67</v>
      </c>
      <c r="P692" s="1">
        <v>1</v>
      </c>
      <c r="Q692" s="1">
        <v>1</v>
      </c>
      <c r="R692" s="1">
        <v>1</v>
      </c>
      <c r="S692" s="1">
        <v>1</v>
      </c>
      <c r="T692" s="1">
        <v>4</v>
      </c>
      <c r="U692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11</v>
      </c>
      <c r="V692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20</v>
      </c>
      <c r="W692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9</v>
      </c>
      <c r="X692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30</v>
      </c>
      <c r="Y692" s="2">
        <f>SUM(THE_RV1000[[#This Row],[THE_RV1000]:[Webometrics_RV1000]])</f>
        <v>70</v>
      </c>
      <c r="Z692" s="1">
        <v>11</v>
      </c>
      <c r="AA692" s="1">
        <v>20</v>
      </c>
      <c r="AB692" s="1">
        <v>9</v>
      </c>
      <c r="AC692" s="1">
        <v>30</v>
      </c>
    </row>
    <row r="693" spans="15:29" outlineLevel="1" x14ac:dyDescent="0.45">
      <c r="O693" s="2" t="s">
        <v>54</v>
      </c>
      <c r="P693" s="2">
        <v>1</v>
      </c>
      <c r="Q693" s="2">
        <v>1</v>
      </c>
      <c r="R693" s="2">
        <v>1</v>
      </c>
      <c r="S693" s="2">
        <v>1</v>
      </c>
      <c r="T693" s="2">
        <v>4</v>
      </c>
      <c r="U693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10</v>
      </c>
      <c r="V693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23</v>
      </c>
      <c r="W693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6</v>
      </c>
      <c r="X693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35</v>
      </c>
      <c r="Y693" s="2">
        <f>SUM(THE_RV1000[[#This Row],[THE_RV1000]:[Webometrics_RV1000]])</f>
        <v>74</v>
      </c>
      <c r="Z693" s="2">
        <v>10</v>
      </c>
      <c r="AA693" s="2">
        <v>23</v>
      </c>
      <c r="AB693" s="2">
        <v>6</v>
      </c>
      <c r="AC693" s="2">
        <v>35</v>
      </c>
    </row>
    <row r="694" spans="15:29" outlineLevel="1" x14ac:dyDescent="0.45">
      <c r="O694" s="1" t="s">
        <v>31</v>
      </c>
      <c r="P694" s="1">
        <v>1</v>
      </c>
      <c r="Q694" s="1">
        <v>1</v>
      </c>
      <c r="R694" s="1">
        <v>1</v>
      </c>
      <c r="S694" s="1">
        <v>1</v>
      </c>
      <c r="T694" s="1">
        <v>4</v>
      </c>
      <c r="U694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6</v>
      </c>
      <c r="V694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9</v>
      </c>
      <c r="W694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6</v>
      </c>
      <c r="X694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59</v>
      </c>
      <c r="Y694" s="2">
        <f>SUM(THE_RV1000[[#This Row],[THE_RV1000]:[Webometrics_RV1000]])</f>
        <v>80</v>
      </c>
      <c r="Z694" s="1">
        <v>6</v>
      </c>
      <c r="AA694" s="1">
        <v>9</v>
      </c>
      <c r="AB694" s="1">
        <v>6</v>
      </c>
      <c r="AC694" s="1">
        <v>59</v>
      </c>
    </row>
    <row r="695" spans="15:29" outlineLevel="1" x14ac:dyDescent="0.45">
      <c r="O695" s="2" t="s">
        <v>89</v>
      </c>
      <c r="P695" s="2">
        <v>1</v>
      </c>
      <c r="Q695" s="2">
        <v>1</v>
      </c>
      <c r="R695" s="2">
        <v>1</v>
      </c>
      <c r="S695" s="2">
        <v>1</v>
      </c>
      <c r="T695" s="2">
        <v>4</v>
      </c>
      <c r="U695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16</v>
      </c>
      <c r="V695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26</v>
      </c>
      <c r="W695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14</v>
      </c>
      <c r="X695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24</v>
      </c>
      <c r="Y695" s="2">
        <f>SUM(THE_RV1000[[#This Row],[THE_RV1000]:[Webometrics_RV1000]])</f>
        <v>80</v>
      </c>
      <c r="Z695" s="2">
        <v>16</v>
      </c>
      <c r="AA695" s="2">
        <v>26</v>
      </c>
      <c r="AB695" s="2">
        <v>14</v>
      </c>
      <c r="AC695" s="2">
        <v>24</v>
      </c>
    </row>
    <row r="696" spans="15:29" outlineLevel="1" x14ac:dyDescent="0.45">
      <c r="O696" s="1" t="s">
        <v>133</v>
      </c>
      <c r="P696" s="1">
        <v>1</v>
      </c>
      <c r="Q696" s="1">
        <v>1</v>
      </c>
      <c r="R696" s="1">
        <v>1</v>
      </c>
      <c r="S696" s="1">
        <v>1</v>
      </c>
      <c r="T696" s="1">
        <v>4</v>
      </c>
      <c r="U696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23</v>
      </c>
      <c r="V696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28</v>
      </c>
      <c r="W696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25</v>
      </c>
      <c r="X696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6</v>
      </c>
      <c r="Y696" s="2">
        <f>SUM(THE_RV1000[[#This Row],[THE_RV1000]:[Webometrics_RV1000]])</f>
        <v>82</v>
      </c>
      <c r="Z696" s="1">
        <v>23</v>
      </c>
      <c r="AA696" s="1">
        <v>28</v>
      </c>
      <c r="AB696" s="1">
        <v>25</v>
      </c>
      <c r="AC696" s="1">
        <v>6</v>
      </c>
    </row>
    <row r="697" spans="15:29" outlineLevel="1" x14ac:dyDescent="0.45">
      <c r="O697" s="2" t="s">
        <v>102</v>
      </c>
      <c r="P697" s="2">
        <v>1</v>
      </c>
      <c r="Q697" s="2">
        <v>1</v>
      </c>
      <c r="R697" s="2">
        <v>1</v>
      </c>
      <c r="S697" s="2">
        <v>1</v>
      </c>
      <c r="T697" s="2">
        <v>4</v>
      </c>
      <c r="U697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18</v>
      </c>
      <c r="V697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22</v>
      </c>
      <c r="W697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34</v>
      </c>
      <c r="X697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16</v>
      </c>
      <c r="Y697" s="2">
        <f>SUM(THE_RV1000[[#This Row],[THE_RV1000]:[Webometrics_RV1000]])</f>
        <v>90</v>
      </c>
      <c r="Z697" s="2">
        <v>18</v>
      </c>
      <c r="AA697" s="2">
        <v>22</v>
      </c>
      <c r="AB697" s="2">
        <v>34</v>
      </c>
      <c r="AC697" s="2">
        <v>16</v>
      </c>
    </row>
    <row r="698" spans="15:29" outlineLevel="1" x14ac:dyDescent="0.45">
      <c r="O698" s="1" t="s">
        <v>795</v>
      </c>
      <c r="P698" s="1">
        <v>1</v>
      </c>
      <c r="Q698" s="1">
        <v>1</v>
      </c>
      <c r="R698" s="1">
        <v>1</v>
      </c>
      <c r="S698" s="1">
        <v>1</v>
      </c>
      <c r="T698" s="1">
        <v>4</v>
      </c>
      <c r="U698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21</v>
      </c>
      <c r="V698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13</v>
      </c>
      <c r="W698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44</v>
      </c>
      <c r="X698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13</v>
      </c>
      <c r="Y698" s="2">
        <f>SUM(THE_RV1000[[#This Row],[THE_RV1000]:[Webometrics_RV1000]])</f>
        <v>91</v>
      </c>
      <c r="Z698" s="1">
        <v>21</v>
      </c>
      <c r="AA698" s="1">
        <v>13</v>
      </c>
      <c r="AB698" s="1">
        <v>44</v>
      </c>
      <c r="AC698" s="1">
        <v>13</v>
      </c>
    </row>
    <row r="699" spans="15:29" outlineLevel="1" x14ac:dyDescent="0.45">
      <c r="O699" s="2" t="s">
        <v>97</v>
      </c>
      <c r="P699" s="2">
        <v>1</v>
      </c>
      <c r="Q699" s="2">
        <v>1</v>
      </c>
      <c r="R699" s="2">
        <v>1</v>
      </c>
      <c r="S699" s="2">
        <v>1</v>
      </c>
      <c r="T699" s="2">
        <v>4</v>
      </c>
      <c r="U699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17</v>
      </c>
      <c r="V699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34</v>
      </c>
      <c r="W699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12</v>
      </c>
      <c r="X699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32</v>
      </c>
      <c r="Y699" s="2">
        <f>SUM(THE_RV1000[[#This Row],[THE_RV1000]:[Webometrics_RV1000]])</f>
        <v>95</v>
      </c>
      <c r="Z699" s="2">
        <v>17</v>
      </c>
      <c r="AA699" s="2">
        <v>34</v>
      </c>
      <c r="AB699" s="2">
        <v>12</v>
      </c>
      <c r="AC699" s="2">
        <v>32</v>
      </c>
    </row>
    <row r="700" spans="15:29" outlineLevel="1" x14ac:dyDescent="0.45">
      <c r="O700" s="1" t="s">
        <v>151</v>
      </c>
      <c r="P700" s="1">
        <v>1</v>
      </c>
      <c r="Q700" s="1">
        <v>1</v>
      </c>
      <c r="R700" s="1">
        <v>1</v>
      </c>
      <c r="S700" s="1">
        <v>1</v>
      </c>
      <c r="T700" s="1">
        <v>4</v>
      </c>
      <c r="U700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26</v>
      </c>
      <c r="V700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30</v>
      </c>
      <c r="W700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32</v>
      </c>
      <c r="X700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22</v>
      </c>
      <c r="Y700" s="2">
        <f>SUM(THE_RV1000[[#This Row],[THE_RV1000]:[Webometrics_RV1000]])</f>
        <v>110</v>
      </c>
      <c r="Z700" s="1">
        <v>26</v>
      </c>
      <c r="AA700" s="1">
        <v>30</v>
      </c>
      <c r="AB700" s="1">
        <v>32</v>
      </c>
      <c r="AC700" s="1">
        <v>22</v>
      </c>
    </row>
    <row r="701" spans="15:29" outlineLevel="1" x14ac:dyDescent="0.45">
      <c r="O701" s="2" t="s">
        <v>139</v>
      </c>
      <c r="P701" s="2">
        <v>1</v>
      </c>
      <c r="Q701" s="2">
        <v>1</v>
      </c>
      <c r="R701" s="2">
        <v>1</v>
      </c>
      <c r="S701" s="2">
        <v>1</v>
      </c>
      <c r="T701" s="2">
        <v>4</v>
      </c>
      <c r="U701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24</v>
      </c>
      <c r="V701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25</v>
      </c>
      <c r="W701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39</v>
      </c>
      <c r="X701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23</v>
      </c>
      <c r="Y701" s="2">
        <f>SUM(THE_RV1000[[#This Row],[THE_RV1000]:[Webometrics_RV1000]])</f>
        <v>111</v>
      </c>
      <c r="Z701" s="2">
        <v>24</v>
      </c>
      <c r="AA701" s="2">
        <v>25</v>
      </c>
      <c r="AB701" s="2">
        <v>39</v>
      </c>
      <c r="AC701" s="2">
        <v>23</v>
      </c>
    </row>
    <row r="702" spans="15:29" outlineLevel="1" x14ac:dyDescent="0.45">
      <c r="O702" s="1" t="s">
        <v>797</v>
      </c>
      <c r="P702" s="1">
        <v>1</v>
      </c>
      <c r="Q702" s="1">
        <v>1</v>
      </c>
      <c r="R702" s="1">
        <v>1</v>
      </c>
      <c r="S702" s="1">
        <v>1</v>
      </c>
      <c r="T702" s="1">
        <v>4</v>
      </c>
      <c r="U702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32</v>
      </c>
      <c r="V702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21</v>
      </c>
      <c r="W702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53</v>
      </c>
      <c r="X702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17</v>
      </c>
      <c r="Y702" s="2">
        <f>SUM(THE_RV1000[[#This Row],[THE_RV1000]:[Webometrics_RV1000]])</f>
        <v>123</v>
      </c>
      <c r="Z702" s="1">
        <v>32</v>
      </c>
      <c r="AA702" s="1">
        <v>21</v>
      </c>
      <c r="AB702" s="1">
        <v>53</v>
      </c>
      <c r="AC702" s="1">
        <v>17</v>
      </c>
    </row>
    <row r="703" spans="15:29" outlineLevel="1" x14ac:dyDescent="0.45">
      <c r="O703" s="2" t="s">
        <v>169</v>
      </c>
      <c r="P703" s="2">
        <v>1</v>
      </c>
      <c r="Q703" s="2">
        <v>1</v>
      </c>
      <c r="R703" s="2">
        <v>1</v>
      </c>
      <c r="S703" s="2">
        <v>1</v>
      </c>
      <c r="T703" s="2">
        <v>4</v>
      </c>
      <c r="U703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29</v>
      </c>
      <c r="V703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35</v>
      </c>
      <c r="W703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15</v>
      </c>
      <c r="X703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44</v>
      </c>
      <c r="Y703" s="2">
        <f>SUM(THE_RV1000[[#This Row],[THE_RV1000]:[Webometrics_RV1000]])</f>
        <v>123</v>
      </c>
      <c r="Z703" s="2">
        <v>29</v>
      </c>
      <c r="AA703" s="2">
        <v>35</v>
      </c>
      <c r="AB703" s="2">
        <v>15</v>
      </c>
      <c r="AC703" s="2">
        <v>44</v>
      </c>
    </row>
    <row r="704" spans="15:29" outlineLevel="1" x14ac:dyDescent="0.45">
      <c r="O704" s="1" t="s">
        <v>145</v>
      </c>
      <c r="P704" s="1">
        <v>1</v>
      </c>
      <c r="Q704" s="1">
        <v>1</v>
      </c>
      <c r="R704" s="1">
        <v>1</v>
      </c>
      <c r="S704" s="1">
        <v>1</v>
      </c>
      <c r="T704" s="1">
        <v>4</v>
      </c>
      <c r="U704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25</v>
      </c>
      <c r="V704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31</v>
      </c>
      <c r="W704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50</v>
      </c>
      <c r="X704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21</v>
      </c>
      <c r="Y704" s="2">
        <f>SUM(THE_RV1000[[#This Row],[THE_RV1000]:[Webometrics_RV1000]])</f>
        <v>127</v>
      </c>
      <c r="Z704" s="1">
        <v>25</v>
      </c>
      <c r="AA704" s="1">
        <v>31</v>
      </c>
      <c r="AB704" s="1">
        <v>50</v>
      </c>
      <c r="AC704" s="1">
        <v>21</v>
      </c>
    </row>
    <row r="705" spans="15:29" outlineLevel="1" x14ac:dyDescent="0.45">
      <c r="O705" s="2" t="s">
        <v>157</v>
      </c>
      <c r="P705" s="2">
        <v>1</v>
      </c>
      <c r="Q705" s="2">
        <v>1</v>
      </c>
      <c r="R705" s="2">
        <v>1</v>
      </c>
      <c r="S705" s="2">
        <v>1</v>
      </c>
      <c r="T705" s="2">
        <v>4</v>
      </c>
      <c r="U705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26</v>
      </c>
      <c r="V705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17</v>
      </c>
      <c r="W705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80</v>
      </c>
      <c r="X705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7</v>
      </c>
      <c r="Y705" s="2">
        <f>SUM(THE_RV1000[[#This Row],[THE_RV1000]:[Webometrics_RV1000]])</f>
        <v>130</v>
      </c>
      <c r="Z705" s="2">
        <v>26</v>
      </c>
      <c r="AA705" s="2">
        <v>17</v>
      </c>
      <c r="AB705" s="2">
        <v>80</v>
      </c>
      <c r="AC705" s="2">
        <v>7</v>
      </c>
    </row>
    <row r="706" spans="15:29" outlineLevel="1" x14ac:dyDescent="0.45">
      <c r="O706" s="1" t="s">
        <v>194</v>
      </c>
      <c r="P706" s="1">
        <v>1</v>
      </c>
      <c r="Q706" s="1">
        <v>1</v>
      </c>
      <c r="R706" s="1">
        <v>1</v>
      </c>
      <c r="S706" s="1">
        <v>1</v>
      </c>
      <c r="T706" s="1">
        <v>4</v>
      </c>
      <c r="U706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34</v>
      </c>
      <c r="V706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32</v>
      </c>
      <c r="W706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33</v>
      </c>
      <c r="X706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40</v>
      </c>
      <c r="Y706" s="2">
        <f>SUM(THE_RV1000[[#This Row],[THE_RV1000]:[Webometrics_RV1000]])</f>
        <v>139</v>
      </c>
      <c r="Z706" s="1">
        <v>34</v>
      </c>
      <c r="AA706" s="1">
        <v>32</v>
      </c>
      <c r="AB706" s="1">
        <v>33</v>
      </c>
      <c r="AC706" s="1">
        <v>40</v>
      </c>
    </row>
    <row r="707" spans="15:29" outlineLevel="1" x14ac:dyDescent="0.45">
      <c r="O707" s="2" t="s">
        <v>110</v>
      </c>
      <c r="P707" s="2">
        <v>1</v>
      </c>
      <c r="Q707" s="2">
        <v>1</v>
      </c>
      <c r="R707" s="2">
        <v>1</v>
      </c>
      <c r="S707" s="2">
        <v>1</v>
      </c>
      <c r="T707" s="2">
        <v>4</v>
      </c>
      <c r="U707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19</v>
      </c>
      <c r="V707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71</v>
      </c>
      <c r="W707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11</v>
      </c>
      <c r="X707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47</v>
      </c>
      <c r="Y707" s="2">
        <f>SUM(THE_RV1000[[#This Row],[THE_RV1000]:[Webometrics_RV1000]])</f>
        <v>148</v>
      </c>
      <c r="Z707" s="2">
        <v>19</v>
      </c>
      <c r="AA707" s="2">
        <v>71</v>
      </c>
      <c r="AB707" s="2">
        <v>11</v>
      </c>
      <c r="AC707" s="2">
        <v>47</v>
      </c>
    </row>
    <row r="708" spans="15:29" outlineLevel="1" x14ac:dyDescent="0.45">
      <c r="O708" s="1" t="s">
        <v>854</v>
      </c>
      <c r="P708" s="1">
        <v>1</v>
      </c>
      <c r="Q708" s="1">
        <v>1</v>
      </c>
      <c r="R708" s="1">
        <v>1</v>
      </c>
      <c r="S708" s="1">
        <v>1</v>
      </c>
      <c r="T708" s="1">
        <v>4</v>
      </c>
      <c r="U708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39</v>
      </c>
      <c r="V708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24</v>
      </c>
      <c r="W708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23</v>
      </c>
      <c r="X708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66</v>
      </c>
      <c r="Y708" s="2">
        <f>SUM(THE_RV1000[[#This Row],[THE_RV1000]:[Webometrics_RV1000]])</f>
        <v>152</v>
      </c>
      <c r="Z708" s="1">
        <v>39</v>
      </c>
      <c r="AA708" s="1">
        <v>24</v>
      </c>
      <c r="AB708" s="1">
        <v>23</v>
      </c>
      <c r="AC708" s="1">
        <v>66</v>
      </c>
    </row>
    <row r="709" spans="15:29" outlineLevel="1" x14ac:dyDescent="0.45">
      <c r="O709" s="2" t="s">
        <v>225</v>
      </c>
      <c r="P709" s="2">
        <v>1</v>
      </c>
      <c r="Q709" s="2">
        <v>1</v>
      </c>
      <c r="R709" s="2">
        <v>1</v>
      </c>
      <c r="S709" s="2">
        <v>1</v>
      </c>
      <c r="T709" s="2">
        <v>4</v>
      </c>
      <c r="U709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40</v>
      </c>
      <c r="V709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44</v>
      </c>
      <c r="W709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47</v>
      </c>
      <c r="X709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27</v>
      </c>
      <c r="Y709" s="2">
        <f>SUM(THE_RV1000[[#This Row],[THE_RV1000]:[Webometrics_RV1000]])</f>
        <v>158</v>
      </c>
      <c r="Z709" s="2">
        <v>40</v>
      </c>
      <c r="AA709" s="2">
        <v>44</v>
      </c>
      <c r="AB709" s="2">
        <v>47</v>
      </c>
      <c r="AC709" s="2">
        <v>27</v>
      </c>
    </row>
    <row r="710" spans="15:29" outlineLevel="1" x14ac:dyDescent="0.45">
      <c r="O710" s="1" t="s">
        <v>296</v>
      </c>
      <c r="P710" s="1">
        <v>1</v>
      </c>
      <c r="Q710" s="1">
        <v>1</v>
      </c>
      <c r="R710" s="1">
        <v>1</v>
      </c>
      <c r="S710" s="1">
        <v>1</v>
      </c>
      <c r="T710" s="1">
        <v>4</v>
      </c>
      <c r="U710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54</v>
      </c>
      <c r="V710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38</v>
      </c>
      <c r="W710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28</v>
      </c>
      <c r="X710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61</v>
      </c>
      <c r="Y710" s="2">
        <f>SUM(THE_RV1000[[#This Row],[THE_RV1000]:[Webometrics_RV1000]])</f>
        <v>181</v>
      </c>
      <c r="Z710" s="1">
        <v>54</v>
      </c>
      <c r="AA710" s="1">
        <v>38</v>
      </c>
      <c r="AB710" s="1">
        <v>28</v>
      </c>
      <c r="AC710" s="1">
        <v>61</v>
      </c>
    </row>
    <row r="711" spans="15:29" outlineLevel="1" x14ac:dyDescent="0.45">
      <c r="O711" s="2" t="s">
        <v>276</v>
      </c>
      <c r="P711" s="2">
        <v>1</v>
      </c>
      <c r="Q711" s="2">
        <v>1</v>
      </c>
      <c r="R711" s="2">
        <v>1</v>
      </c>
      <c r="S711" s="2">
        <v>1</v>
      </c>
      <c r="T711" s="2">
        <v>4</v>
      </c>
      <c r="U711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50</v>
      </c>
      <c r="V711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37</v>
      </c>
      <c r="W711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72</v>
      </c>
      <c r="X711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25</v>
      </c>
      <c r="Y711" s="2">
        <f>SUM(THE_RV1000[[#This Row],[THE_RV1000]:[Webometrics_RV1000]])</f>
        <v>184</v>
      </c>
      <c r="Z711" s="2">
        <v>50</v>
      </c>
      <c r="AA711" s="2">
        <v>37</v>
      </c>
      <c r="AB711" s="2">
        <v>72</v>
      </c>
      <c r="AC711" s="2">
        <v>25</v>
      </c>
    </row>
    <row r="712" spans="15:29" outlineLevel="1" x14ac:dyDescent="0.45">
      <c r="O712" s="1" t="s">
        <v>199</v>
      </c>
      <c r="P712" s="1">
        <v>1</v>
      </c>
      <c r="Q712" s="1">
        <v>1</v>
      </c>
      <c r="R712" s="1">
        <v>1</v>
      </c>
      <c r="S712" s="1">
        <v>1</v>
      </c>
      <c r="T712" s="1">
        <v>4</v>
      </c>
      <c r="U712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35</v>
      </c>
      <c r="V712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48</v>
      </c>
      <c r="W712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37</v>
      </c>
      <c r="X712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67</v>
      </c>
      <c r="Y712" s="2">
        <f>SUM(THE_RV1000[[#This Row],[THE_RV1000]:[Webometrics_RV1000]])</f>
        <v>187</v>
      </c>
      <c r="Z712" s="1">
        <v>35</v>
      </c>
      <c r="AA712" s="1">
        <v>48</v>
      </c>
      <c r="AB712" s="1">
        <v>37</v>
      </c>
      <c r="AC712" s="1">
        <v>67</v>
      </c>
    </row>
    <row r="713" spans="15:29" outlineLevel="1" x14ac:dyDescent="0.45">
      <c r="O713" s="2" t="s">
        <v>816</v>
      </c>
      <c r="P713" s="2">
        <v>1</v>
      </c>
      <c r="Q713" s="2">
        <v>1</v>
      </c>
      <c r="R713" s="2">
        <v>1</v>
      </c>
      <c r="S713" s="2">
        <v>1</v>
      </c>
      <c r="T713" s="2">
        <v>4</v>
      </c>
      <c r="U713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53</v>
      </c>
      <c r="V713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47</v>
      </c>
      <c r="W713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50</v>
      </c>
      <c r="X713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52</v>
      </c>
      <c r="Y713" s="2">
        <f>SUM(THE_RV1000[[#This Row],[THE_RV1000]:[Webometrics_RV1000]])</f>
        <v>202</v>
      </c>
      <c r="Z713" s="2">
        <v>53</v>
      </c>
      <c r="AA713" s="2">
        <v>47</v>
      </c>
      <c r="AB713" s="2">
        <v>50</v>
      </c>
      <c r="AC713" s="2">
        <v>52</v>
      </c>
    </row>
    <row r="714" spans="15:29" outlineLevel="1" x14ac:dyDescent="0.45">
      <c r="O714" s="1" t="s">
        <v>572</v>
      </c>
      <c r="P714" s="1">
        <v>1</v>
      </c>
      <c r="Q714" s="1">
        <v>1</v>
      </c>
      <c r="R714" s="1">
        <v>1</v>
      </c>
      <c r="S714" s="1">
        <v>1</v>
      </c>
      <c r="T714" s="1">
        <v>4</v>
      </c>
      <c r="U714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54</v>
      </c>
      <c r="V714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60</v>
      </c>
      <c r="W714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41</v>
      </c>
      <c r="X714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50</v>
      </c>
      <c r="Y714" s="2">
        <f>SUM(THE_RV1000[[#This Row],[THE_RV1000]:[Webometrics_RV1000]])</f>
        <v>205</v>
      </c>
      <c r="Z714" s="1">
        <v>54</v>
      </c>
      <c r="AA714" s="1">
        <v>60</v>
      </c>
      <c r="AB714" s="1">
        <v>41</v>
      </c>
      <c r="AC714" s="1">
        <v>50</v>
      </c>
    </row>
    <row r="715" spans="15:29" outlineLevel="1" x14ac:dyDescent="0.45">
      <c r="O715" s="2" t="s">
        <v>253</v>
      </c>
      <c r="P715" s="2">
        <v>1</v>
      </c>
      <c r="Q715" s="2">
        <v>1</v>
      </c>
      <c r="R715" s="2">
        <v>1</v>
      </c>
      <c r="S715" s="2">
        <v>1</v>
      </c>
      <c r="T715" s="2">
        <v>4</v>
      </c>
      <c r="U715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46</v>
      </c>
      <c r="V715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73</v>
      </c>
      <c r="W715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31</v>
      </c>
      <c r="X715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60</v>
      </c>
      <c r="Y715" s="2">
        <f>SUM(THE_RV1000[[#This Row],[THE_RV1000]:[Webometrics_RV1000]])</f>
        <v>210</v>
      </c>
      <c r="Z715" s="2">
        <v>46</v>
      </c>
      <c r="AA715" s="2">
        <v>73</v>
      </c>
      <c r="AB715" s="2">
        <v>31</v>
      </c>
      <c r="AC715" s="2">
        <v>60</v>
      </c>
    </row>
    <row r="716" spans="15:29" outlineLevel="1" x14ac:dyDescent="0.45">
      <c r="O716" s="1" t="s">
        <v>355</v>
      </c>
      <c r="P716" s="1">
        <v>1</v>
      </c>
      <c r="Q716" s="1">
        <v>1</v>
      </c>
      <c r="R716" s="1">
        <v>1</v>
      </c>
      <c r="S716" s="1">
        <v>1</v>
      </c>
      <c r="T716" s="1">
        <v>4</v>
      </c>
      <c r="U716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67</v>
      </c>
      <c r="V716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36</v>
      </c>
      <c r="W716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42</v>
      </c>
      <c r="X716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68</v>
      </c>
      <c r="Y716" s="2">
        <f>SUM(THE_RV1000[[#This Row],[THE_RV1000]:[Webometrics_RV1000]])</f>
        <v>213</v>
      </c>
      <c r="Z716" s="1">
        <v>67</v>
      </c>
      <c r="AA716" s="1">
        <v>36</v>
      </c>
      <c r="AB716" s="1">
        <v>42</v>
      </c>
      <c r="AC716" s="1">
        <v>68</v>
      </c>
    </row>
    <row r="717" spans="15:29" outlineLevel="1" x14ac:dyDescent="0.45">
      <c r="O717" s="2" t="s">
        <v>266</v>
      </c>
      <c r="P717" s="2">
        <v>1</v>
      </c>
      <c r="Q717" s="2">
        <v>1</v>
      </c>
      <c r="R717" s="2">
        <v>1</v>
      </c>
      <c r="S717" s="2">
        <v>1</v>
      </c>
      <c r="T717" s="2">
        <v>4</v>
      </c>
      <c r="U717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48</v>
      </c>
      <c r="V717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49</v>
      </c>
      <c r="W717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85</v>
      </c>
      <c r="X717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33</v>
      </c>
      <c r="Y717" s="2">
        <f>SUM(THE_RV1000[[#This Row],[THE_RV1000]:[Webometrics_RV1000]])</f>
        <v>215</v>
      </c>
      <c r="Z717" s="2">
        <v>48</v>
      </c>
      <c r="AA717" s="2">
        <v>49</v>
      </c>
      <c r="AB717" s="2">
        <v>85</v>
      </c>
      <c r="AC717" s="2">
        <v>33</v>
      </c>
    </row>
    <row r="718" spans="15:29" outlineLevel="1" x14ac:dyDescent="0.45">
      <c r="O718" s="1" t="s">
        <v>412</v>
      </c>
      <c r="P718" s="1">
        <v>1</v>
      </c>
      <c r="Q718" s="1">
        <v>1</v>
      </c>
      <c r="R718" s="1">
        <v>1</v>
      </c>
      <c r="S718" s="1">
        <v>1</v>
      </c>
      <c r="T718" s="1">
        <v>4</v>
      </c>
      <c r="U718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81</v>
      </c>
      <c r="V718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33</v>
      </c>
      <c r="W718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83</v>
      </c>
      <c r="X718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20</v>
      </c>
      <c r="Y718" s="2">
        <f>SUM(THE_RV1000[[#This Row],[THE_RV1000]:[Webometrics_RV1000]])</f>
        <v>217</v>
      </c>
      <c r="Z718" s="1">
        <v>81</v>
      </c>
      <c r="AA718" s="1">
        <v>33</v>
      </c>
      <c r="AB718" s="1">
        <v>83</v>
      </c>
      <c r="AC718" s="1">
        <v>20</v>
      </c>
    </row>
    <row r="719" spans="15:29" outlineLevel="1" x14ac:dyDescent="0.45">
      <c r="O719" s="2" t="s">
        <v>286</v>
      </c>
      <c r="P719" s="2">
        <v>1</v>
      </c>
      <c r="Q719" s="2">
        <v>1</v>
      </c>
      <c r="R719" s="2">
        <v>1</v>
      </c>
      <c r="S719" s="2">
        <v>1</v>
      </c>
      <c r="T719" s="2">
        <v>4</v>
      </c>
      <c r="U719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52</v>
      </c>
      <c r="V719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54</v>
      </c>
      <c r="W719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46</v>
      </c>
      <c r="X719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69</v>
      </c>
      <c r="Y719" s="2">
        <f>SUM(THE_RV1000[[#This Row],[THE_RV1000]:[Webometrics_RV1000]])</f>
        <v>221</v>
      </c>
      <c r="Z719" s="2">
        <v>52</v>
      </c>
      <c r="AA719" s="2">
        <v>54</v>
      </c>
      <c r="AB719" s="2">
        <v>46</v>
      </c>
      <c r="AC719" s="2">
        <v>69</v>
      </c>
    </row>
    <row r="720" spans="15:29" outlineLevel="1" x14ac:dyDescent="0.45">
      <c r="O720" s="1" t="s">
        <v>810</v>
      </c>
      <c r="P720" s="1">
        <v>1</v>
      </c>
      <c r="Q720" s="1">
        <v>1</v>
      </c>
      <c r="R720" s="1">
        <v>1</v>
      </c>
      <c r="S720" s="1">
        <v>1</v>
      </c>
      <c r="T720" s="1">
        <v>4</v>
      </c>
      <c r="U720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71</v>
      </c>
      <c r="V720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64</v>
      </c>
      <c r="W720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45</v>
      </c>
      <c r="X720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41</v>
      </c>
      <c r="Y720" s="2">
        <f>SUM(THE_RV1000[[#This Row],[THE_RV1000]:[Webometrics_RV1000]])</f>
        <v>221</v>
      </c>
      <c r="Z720" s="1">
        <v>71</v>
      </c>
      <c r="AA720" s="1">
        <v>64</v>
      </c>
      <c r="AB720" s="1">
        <v>45</v>
      </c>
      <c r="AC720" s="1">
        <v>41</v>
      </c>
    </row>
    <row r="721" spans="15:29" outlineLevel="1" x14ac:dyDescent="0.45">
      <c r="O721" s="2" t="s">
        <v>179</v>
      </c>
      <c r="P721" s="2">
        <v>1</v>
      </c>
      <c r="Q721" s="2">
        <v>1</v>
      </c>
      <c r="R721" s="2">
        <v>1</v>
      </c>
      <c r="S721" s="2">
        <v>1</v>
      </c>
      <c r="T721" s="2">
        <v>4</v>
      </c>
      <c r="U721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31</v>
      </c>
      <c r="V721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96</v>
      </c>
      <c r="W721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21</v>
      </c>
      <c r="X721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75</v>
      </c>
      <c r="Y721" s="2">
        <f>SUM(THE_RV1000[[#This Row],[THE_RV1000]:[Webometrics_RV1000]])</f>
        <v>223</v>
      </c>
      <c r="Z721" s="2">
        <v>31</v>
      </c>
      <c r="AA721" s="2">
        <v>96</v>
      </c>
      <c r="AB721" s="2">
        <v>21</v>
      </c>
      <c r="AC721" s="2">
        <v>75</v>
      </c>
    </row>
    <row r="722" spans="15:29" outlineLevel="1" x14ac:dyDescent="0.45">
      <c r="O722" s="1" t="s">
        <v>614</v>
      </c>
      <c r="P722" s="1">
        <v>1</v>
      </c>
      <c r="Q722" s="1">
        <v>1</v>
      </c>
      <c r="R722" s="1">
        <v>1</v>
      </c>
      <c r="S722" s="1">
        <v>1</v>
      </c>
      <c r="T722" s="1">
        <v>4</v>
      </c>
      <c r="U722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36</v>
      </c>
      <c r="V722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88</v>
      </c>
      <c r="W722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19</v>
      </c>
      <c r="X722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87</v>
      </c>
      <c r="Y722" s="2">
        <f>SUM(THE_RV1000[[#This Row],[THE_RV1000]:[Webometrics_RV1000]])</f>
        <v>230</v>
      </c>
      <c r="Z722" s="1">
        <v>36</v>
      </c>
      <c r="AA722" s="1">
        <v>88</v>
      </c>
      <c r="AB722" s="1">
        <v>19</v>
      </c>
      <c r="AC722" s="1">
        <v>87</v>
      </c>
    </row>
    <row r="723" spans="15:29" outlineLevel="1" x14ac:dyDescent="0.45">
      <c r="O723" s="2" t="s">
        <v>245</v>
      </c>
      <c r="P723" s="2">
        <v>1</v>
      </c>
      <c r="Q723" s="2">
        <v>1</v>
      </c>
      <c r="R723" s="2">
        <v>1</v>
      </c>
      <c r="S723" s="2">
        <v>1</v>
      </c>
      <c r="T723" s="2">
        <v>4</v>
      </c>
      <c r="U723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44</v>
      </c>
      <c r="V723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75</v>
      </c>
      <c r="W723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57</v>
      </c>
      <c r="X723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57</v>
      </c>
      <c r="Y723" s="2">
        <f>SUM(THE_RV1000[[#This Row],[THE_RV1000]:[Webometrics_RV1000]])</f>
        <v>233</v>
      </c>
      <c r="Z723" s="2">
        <v>44</v>
      </c>
      <c r="AA723" s="2">
        <v>75</v>
      </c>
      <c r="AB723" s="2">
        <v>57</v>
      </c>
      <c r="AC723" s="2">
        <v>57</v>
      </c>
    </row>
    <row r="724" spans="15:29" outlineLevel="1" x14ac:dyDescent="0.45">
      <c r="O724" s="1" t="s">
        <v>337</v>
      </c>
      <c r="P724" s="1">
        <v>1</v>
      </c>
      <c r="Q724" s="1">
        <v>1</v>
      </c>
      <c r="R724" s="1">
        <v>1</v>
      </c>
      <c r="S724" s="1">
        <v>1</v>
      </c>
      <c r="T724" s="1">
        <v>4</v>
      </c>
      <c r="U724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62</v>
      </c>
      <c r="V724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79</v>
      </c>
      <c r="W724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30</v>
      </c>
      <c r="X724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79</v>
      </c>
      <c r="Y724" s="2">
        <f>SUM(THE_RV1000[[#This Row],[THE_RV1000]:[Webometrics_RV1000]])</f>
        <v>250</v>
      </c>
      <c r="Z724" s="1">
        <v>62</v>
      </c>
      <c r="AA724" s="1">
        <v>79</v>
      </c>
      <c r="AB724" s="1">
        <v>30</v>
      </c>
      <c r="AC724" s="1">
        <v>79</v>
      </c>
    </row>
    <row r="725" spans="15:29" outlineLevel="1" x14ac:dyDescent="0.45">
      <c r="O725" s="2" t="s">
        <v>306</v>
      </c>
      <c r="P725" s="2">
        <v>1</v>
      </c>
      <c r="Q725" s="2">
        <v>1</v>
      </c>
      <c r="R725" s="2">
        <v>1</v>
      </c>
      <c r="S725" s="2">
        <v>1</v>
      </c>
      <c r="T725" s="2">
        <v>4</v>
      </c>
      <c r="U725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56</v>
      </c>
      <c r="V725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98</v>
      </c>
      <c r="W725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29</v>
      </c>
      <c r="X725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96</v>
      </c>
      <c r="Y725" s="2">
        <f>SUM(THE_RV1000[[#This Row],[THE_RV1000]:[Webometrics_RV1000]])</f>
        <v>279</v>
      </c>
      <c r="Z725" s="2">
        <v>56</v>
      </c>
      <c r="AA725" s="2">
        <v>98</v>
      </c>
      <c r="AB725" s="2">
        <v>29</v>
      </c>
      <c r="AC725" s="2">
        <v>96</v>
      </c>
    </row>
    <row r="726" spans="15:29" outlineLevel="1" x14ac:dyDescent="0.45">
      <c r="O726" s="1" t="s">
        <v>332</v>
      </c>
      <c r="P726" s="1">
        <v>1</v>
      </c>
      <c r="Q726" s="1">
        <v>1</v>
      </c>
      <c r="R726" s="1">
        <v>1</v>
      </c>
      <c r="S726" s="1">
        <v>1</v>
      </c>
      <c r="T726" s="1">
        <v>4</v>
      </c>
      <c r="U726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61</v>
      </c>
      <c r="V726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99</v>
      </c>
      <c r="W726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63</v>
      </c>
      <c r="X726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80</v>
      </c>
      <c r="Y726" s="2">
        <f>SUM(THE_RV1000[[#This Row],[THE_RV1000]:[Webometrics_RV1000]])</f>
        <v>303</v>
      </c>
      <c r="Z726" s="1">
        <v>61</v>
      </c>
      <c r="AA726" s="1">
        <v>99</v>
      </c>
      <c r="AB726" s="1">
        <v>63</v>
      </c>
      <c r="AC726" s="1">
        <v>80</v>
      </c>
    </row>
    <row r="727" spans="15:29" outlineLevel="1" x14ac:dyDescent="0.45">
      <c r="O727" s="2" t="s">
        <v>425</v>
      </c>
      <c r="P727" s="2">
        <v>1</v>
      </c>
      <c r="Q727" s="2">
        <v>1</v>
      </c>
      <c r="R727" s="2">
        <v>1</v>
      </c>
      <c r="S727" s="2">
        <v>1</v>
      </c>
      <c r="T727" s="2">
        <v>4</v>
      </c>
      <c r="U727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82</v>
      </c>
      <c r="V727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59</v>
      </c>
      <c r="W727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83</v>
      </c>
      <c r="X727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92</v>
      </c>
      <c r="Y727" s="2">
        <f>SUM(THE_RV1000[[#This Row],[THE_RV1000]:[Webometrics_RV1000]])</f>
        <v>316</v>
      </c>
      <c r="Z727" s="2">
        <v>82</v>
      </c>
      <c r="AA727" s="2">
        <v>59</v>
      </c>
      <c r="AB727" s="2">
        <v>83</v>
      </c>
      <c r="AC727" s="2">
        <v>92</v>
      </c>
    </row>
    <row r="728" spans="15:29" outlineLevel="1" x14ac:dyDescent="0.45">
      <c r="O728" s="1" t="s">
        <v>385</v>
      </c>
      <c r="P728" s="1">
        <v>1</v>
      </c>
      <c r="Q728" s="1">
        <v>1</v>
      </c>
      <c r="R728" s="1">
        <v>1</v>
      </c>
      <c r="S728" s="1">
        <v>1</v>
      </c>
      <c r="T728" s="1">
        <v>4</v>
      </c>
      <c r="U728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74</v>
      </c>
      <c r="V728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62</v>
      </c>
      <c r="W728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94</v>
      </c>
      <c r="X728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95</v>
      </c>
      <c r="Y728" s="2">
        <f>SUM(THE_RV1000[[#This Row],[THE_RV1000]:[Webometrics_RV1000]])</f>
        <v>325</v>
      </c>
      <c r="Z728" s="1">
        <v>74</v>
      </c>
      <c r="AA728" s="1">
        <v>62</v>
      </c>
      <c r="AB728" s="1">
        <v>94</v>
      </c>
      <c r="AC728" s="1">
        <v>95</v>
      </c>
    </row>
    <row r="729" spans="15:29" outlineLevel="1" x14ac:dyDescent="0.45">
      <c r="O729" s="2" t="s">
        <v>663</v>
      </c>
      <c r="P729" s="2">
        <v>1</v>
      </c>
      <c r="Q729" s="2">
        <v>1</v>
      </c>
      <c r="R729" s="2">
        <v>1</v>
      </c>
      <c r="S729" s="2">
        <v>0</v>
      </c>
      <c r="T729" s="2">
        <v>3</v>
      </c>
      <c r="U729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47</v>
      </c>
      <c r="V729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40</v>
      </c>
      <c r="W729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26</v>
      </c>
      <c r="X729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250</v>
      </c>
      <c r="Y729" s="2">
        <f>SUM(THE_RV1000[[#This Row],[THE_RV1000]:[Webometrics_RV1000]])</f>
        <v>363</v>
      </c>
      <c r="Z729" s="2">
        <v>47</v>
      </c>
      <c r="AA729" s="2">
        <v>40</v>
      </c>
      <c r="AB729" s="2">
        <v>26</v>
      </c>
      <c r="AC729" s="2">
        <v>0</v>
      </c>
    </row>
    <row r="730" spans="15:29" outlineLevel="1" x14ac:dyDescent="0.45">
      <c r="O730" s="1" t="s">
        <v>313</v>
      </c>
      <c r="P730" s="1">
        <v>1</v>
      </c>
      <c r="Q730" s="1">
        <v>1</v>
      </c>
      <c r="R730" s="1">
        <v>0</v>
      </c>
      <c r="S730" s="1">
        <v>1</v>
      </c>
      <c r="T730" s="1">
        <v>3</v>
      </c>
      <c r="U730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57</v>
      </c>
      <c r="V730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27</v>
      </c>
      <c r="W730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250</v>
      </c>
      <c r="X730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42</v>
      </c>
      <c r="Y730" s="2">
        <f>SUM(THE_RV1000[[#This Row],[THE_RV1000]:[Webometrics_RV1000]])</f>
        <v>376</v>
      </c>
      <c r="Z730" s="1">
        <v>57</v>
      </c>
      <c r="AA730" s="1">
        <v>27</v>
      </c>
      <c r="AB730" s="1">
        <v>0</v>
      </c>
      <c r="AC730" s="1">
        <v>42</v>
      </c>
    </row>
    <row r="731" spans="15:29" outlineLevel="1" x14ac:dyDescent="0.45">
      <c r="O731" s="2" t="s">
        <v>366</v>
      </c>
      <c r="P731" s="2">
        <v>1</v>
      </c>
      <c r="Q731" s="2">
        <v>1</v>
      </c>
      <c r="R731" s="2">
        <v>0</v>
      </c>
      <c r="S731" s="2">
        <v>1</v>
      </c>
      <c r="T731" s="2">
        <v>3</v>
      </c>
      <c r="U731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69</v>
      </c>
      <c r="V731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29</v>
      </c>
      <c r="W731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250</v>
      </c>
      <c r="X731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28</v>
      </c>
      <c r="Y731" s="2">
        <f>SUM(THE_RV1000[[#This Row],[THE_RV1000]:[Webometrics_RV1000]])</f>
        <v>376</v>
      </c>
      <c r="Z731" s="2">
        <v>69</v>
      </c>
      <c r="AA731" s="2">
        <v>29</v>
      </c>
      <c r="AB731" s="2">
        <v>0</v>
      </c>
      <c r="AC731" s="2">
        <v>28</v>
      </c>
    </row>
    <row r="732" spans="15:29" outlineLevel="1" x14ac:dyDescent="0.45">
      <c r="O732" s="1" t="s">
        <v>162</v>
      </c>
      <c r="P732" s="1">
        <v>1</v>
      </c>
      <c r="Q732" s="1">
        <v>0</v>
      </c>
      <c r="R732" s="1">
        <v>1</v>
      </c>
      <c r="S732" s="1">
        <v>1</v>
      </c>
      <c r="T732" s="1">
        <v>3</v>
      </c>
      <c r="U732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28</v>
      </c>
      <c r="V732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250</v>
      </c>
      <c r="W732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52</v>
      </c>
      <c r="X732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49</v>
      </c>
      <c r="Y732" s="2">
        <f>SUM(THE_RV1000[[#This Row],[THE_RV1000]:[Webometrics_RV1000]])</f>
        <v>379</v>
      </c>
      <c r="Z732" s="1">
        <v>28</v>
      </c>
      <c r="AA732" s="1">
        <v>0</v>
      </c>
      <c r="AB732" s="1">
        <v>52</v>
      </c>
      <c r="AC732" s="1">
        <v>49</v>
      </c>
    </row>
    <row r="733" spans="15:29" outlineLevel="1" x14ac:dyDescent="0.45">
      <c r="O733" s="2" t="s">
        <v>173</v>
      </c>
      <c r="P733" s="2">
        <v>1</v>
      </c>
      <c r="Q733" s="2">
        <v>1</v>
      </c>
      <c r="R733" s="2">
        <v>1</v>
      </c>
      <c r="S733" s="2">
        <v>0</v>
      </c>
      <c r="T733" s="2">
        <v>3</v>
      </c>
      <c r="U733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30</v>
      </c>
      <c r="V733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56</v>
      </c>
      <c r="W733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49</v>
      </c>
      <c r="X733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250</v>
      </c>
      <c r="Y733" s="2">
        <f>SUM(THE_RV1000[[#This Row],[THE_RV1000]:[Webometrics_RV1000]])</f>
        <v>385</v>
      </c>
      <c r="Z733" s="2">
        <v>30</v>
      </c>
      <c r="AA733" s="2">
        <v>56</v>
      </c>
      <c r="AB733" s="2">
        <v>49</v>
      </c>
      <c r="AC733" s="2">
        <v>0</v>
      </c>
    </row>
    <row r="734" spans="15:29" outlineLevel="1" x14ac:dyDescent="0.45">
      <c r="O734" s="1" t="s">
        <v>360</v>
      </c>
      <c r="P734" s="1">
        <v>1</v>
      </c>
      <c r="Q734" s="1">
        <v>1</v>
      </c>
      <c r="R734" s="1">
        <v>1</v>
      </c>
      <c r="S734" s="1">
        <v>0</v>
      </c>
      <c r="T734" s="1">
        <v>3</v>
      </c>
      <c r="U734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68</v>
      </c>
      <c r="V734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41</v>
      </c>
      <c r="W734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36</v>
      </c>
      <c r="X734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250</v>
      </c>
      <c r="Y734" s="2">
        <f>SUM(THE_RV1000[[#This Row],[THE_RV1000]:[Webometrics_RV1000]])</f>
        <v>395</v>
      </c>
      <c r="Z734" s="1">
        <v>68</v>
      </c>
      <c r="AA734" s="1">
        <v>41</v>
      </c>
      <c r="AB734" s="1">
        <v>36</v>
      </c>
      <c r="AC734" s="1">
        <v>0</v>
      </c>
    </row>
    <row r="735" spans="15:29" outlineLevel="1" x14ac:dyDescent="0.45">
      <c r="O735" s="2" t="s">
        <v>230</v>
      </c>
      <c r="P735" s="2">
        <v>1</v>
      </c>
      <c r="Q735" s="2">
        <v>0</v>
      </c>
      <c r="R735" s="2">
        <v>1</v>
      </c>
      <c r="S735" s="2">
        <v>1</v>
      </c>
      <c r="T735" s="2">
        <v>3</v>
      </c>
      <c r="U735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41</v>
      </c>
      <c r="V735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250</v>
      </c>
      <c r="W735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16</v>
      </c>
      <c r="X735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90</v>
      </c>
      <c r="Y735" s="2">
        <f>SUM(THE_RV1000[[#This Row],[THE_RV1000]:[Webometrics_RV1000]])</f>
        <v>397</v>
      </c>
      <c r="Z735" s="2">
        <v>41</v>
      </c>
      <c r="AA735" s="2">
        <v>0</v>
      </c>
      <c r="AB735" s="2">
        <v>16</v>
      </c>
      <c r="AC735" s="2">
        <v>90</v>
      </c>
    </row>
    <row r="736" spans="15:29" outlineLevel="1" x14ac:dyDescent="0.45">
      <c r="O736" s="1" t="s">
        <v>347</v>
      </c>
      <c r="P736" s="1">
        <v>1</v>
      </c>
      <c r="Q736" s="1">
        <v>1</v>
      </c>
      <c r="R736" s="1">
        <v>0</v>
      </c>
      <c r="S736" s="1">
        <v>1</v>
      </c>
      <c r="T736" s="1">
        <v>3</v>
      </c>
      <c r="U736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65</v>
      </c>
      <c r="V736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53</v>
      </c>
      <c r="W736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250</v>
      </c>
      <c r="X736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31</v>
      </c>
      <c r="Y736" s="2">
        <f>SUM(THE_RV1000[[#This Row],[THE_RV1000]:[Webometrics_RV1000]])</f>
        <v>399</v>
      </c>
      <c r="Z736" s="1">
        <v>65</v>
      </c>
      <c r="AA736" s="1">
        <v>53</v>
      </c>
      <c r="AB736" s="1">
        <v>0</v>
      </c>
      <c r="AC736" s="1">
        <v>31</v>
      </c>
    </row>
    <row r="737" spans="15:29" outlineLevel="1" x14ac:dyDescent="0.45">
      <c r="O737" s="2" t="s">
        <v>282</v>
      </c>
      <c r="P737" s="2">
        <v>1</v>
      </c>
      <c r="Q737" s="2">
        <v>1</v>
      </c>
      <c r="R737" s="2">
        <v>1</v>
      </c>
      <c r="S737" s="2">
        <v>0</v>
      </c>
      <c r="T737" s="2">
        <v>3</v>
      </c>
      <c r="U737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51</v>
      </c>
      <c r="V737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67</v>
      </c>
      <c r="W737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34</v>
      </c>
      <c r="X737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250</v>
      </c>
      <c r="Y737" s="2">
        <f>SUM(THE_RV1000[[#This Row],[THE_RV1000]:[Webometrics_RV1000]])</f>
        <v>402</v>
      </c>
      <c r="Z737" s="2">
        <v>51</v>
      </c>
      <c r="AA737" s="2">
        <v>67</v>
      </c>
      <c r="AB737" s="2">
        <v>34</v>
      </c>
      <c r="AC737" s="2">
        <v>0</v>
      </c>
    </row>
    <row r="738" spans="15:29" outlineLevel="1" x14ac:dyDescent="0.45">
      <c r="O738" s="1" t="s">
        <v>250</v>
      </c>
      <c r="P738" s="1">
        <v>1</v>
      </c>
      <c r="Q738" s="1">
        <v>0</v>
      </c>
      <c r="R738" s="1">
        <v>1</v>
      </c>
      <c r="S738" s="1">
        <v>1</v>
      </c>
      <c r="T738" s="1">
        <v>3</v>
      </c>
      <c r="U738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45</v>
      </c>
      <c r="V738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250</v>
      </c>
      <c r="W738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38</v>
      </c>
      <c r="X738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81</v>
      </c>
      <c r="Y738" s="2">
        <f>SUM(THE_RV1000[[#This Row],[THE_RV1000]:[Webometrics_RV1000]])</f>
        <v>414</v>
      </c>
      <c r="Z738" s="1">
        <v>45</v>
      </c>
      <c r="AA738" s="1">
        <v>0</v>
      </c>
      <c r="AB738" s="1">
        <v>38</v>
      </c>
      <c r="AC738" s="1">
        <v>81</v>
      </c>
    </row>
    <row r="739" spans="15:29" outlineLevel="1" x14ac:dyDescent="0.45">
      <c r="O739" s="2" t="s">
        <v>456</v>
      </c>
      <c r="P739" s="2">
        <v>1</v>
      </c>
      <c r="Q739" s="2">
        <v>1</v>
      </c>
      <c r="R739" s="2">
        <v>1</v>
      </c>
      <c r="S739" s="2">
        <v>0</v>
      </c>
      <c r="T739" s="2">
        <v>3</v>
      </c>
      <c r="U739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93</v>
      </c>
      <c r="V739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16</v>
      </c>
      <c r="W739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69</v>
      </c>
      <c r="X739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250</v>
      </c>
      <c r="Y739" s="2">
        <f>SUM(THE_RV1000[[#This Row],[THE_RV1000]:[Webometrics_RV1000]])</f>
        <v>428</v>
      </c>
      <c r="Z739" s="2">
        <v>93</v>
      </c>
      <c r="AA739" s="2">
        <v>16</v>
      </c>
      <c r="AB739" s="2">
        <v>69</v>
      </c>
      <c r="AC739" s="2">
        <v>0</v>
      </c>
    </row>
    <row r="740" spans="15:29" outlineLevel="1" x14ac:dyDescent="0.45">
      <c r="O740" s="1" t="s">
        <v>352</v>
      </c>
      <c r="P740" s="1">
        <v>1</v>
      </c>
      <c r="Q740" s="1">
        <v>1</v>
      </c>
      <c r="R740" s="1">
        <v>0</v>
      </c>
      <c r="S740" s="1">
        <v>1</v>
      </c>
      <c r="T740" s="1">
        <v>3</v>
      </c>
      <c r="U740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66</v>
      </c>
      <c r="V740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54</v>
      </c>
      <c r="W740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250</v>
      </c>
      <c r="X740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65</v>
      </c>
      <c r="Y740" s="2">
        <f>SUM(THE_RV1000[[#This Row],[THE_RV1000]:[Webometrics_RV1000]])</f>
        <v>435</v>
      </c>
      <c r="Z740" s="1">
        <v>66</v>
      </c>
      <c r="AA740" s="1">
        <v>54</v>
      </c>
      <c r="AB740" s="1">
        <v>0</v>
      </c>
      <c r="AC740" s="1">
        <v>65</v>
      </c>
    </row>
    <row r="741" spans="15:29" outlineLevel="1" x14ac:dyDescent="0.45">
      <c r="O741" s="2" t="s">
        <v>216</v>
      </c>
      <c r="P741" s="2">
        <v>1</v>
      </c>
      <c r="Q741" s="2">
        <v>0</v>
      </c>
      <c r="R741" s="2">
        <v>1</v>
      </c>
      <c r="S741" s="2">
        <v>1</v>
      </c>
      <c r="T741" s="2">
        <v>3</v>
      </c>
      <c r="U741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38</v>
      </c>
      <c r="V741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250</v>
      </c>
      <c r="W741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88</v>
      </c>
      <c r="X741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62</v>
      </c>
      <c r="Y741" s="2">
        <f>SUM(THE_RV1000[[#This Row],[THE_RV1000]:[Webometrics_RV1000]])</f>
        <v>438</v>
      </c>
      <c r="Z741" s="2">
        <v>38</v>
      </c>
      <c r="AA741" s="2">
        <v>0</v>
      </c>
      <c r="AB741" s="2">
        <v>88</v>
      </c>
      <c r="AC741" s="2">
        <v>62</v>
      </c>
    </row>
    <row r="742" spans="15:29" outlineLevel="1" x14ac:dyDescent="0.45">
      <c r="O742" s="1" t="s">
        <v>326</v>
      </c>
      <c r="P742" s="1">
        <v>1</v>
      </c>
      <c r="Q742" s="1">
        <v>0</v>
      </c>
      <c r="R742" s="1">
        <v>1</v>
      </c>
      <c r="S742" s="1">
        <v>1</v>
      </c>
      <c r="T742" s="1">
        <v>3</v>
      </c>
      <c r="U742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60</v>
      </c>
      <c r="V742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250</v>
      </c>
      <c r="W742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58</v>
      </c>
      <c r="X742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73</v>
      </c>
      <c r="Y742" s="2">
        <f>SUM(THE_RV1000[[#This Row],[THE_RV1000]:[Webometrics_RV1000]])</f>
        <v>441</v>
      </c>
      <c r="Z742" s="1">
        <v>60</v>
      </c>
      <c r="AA742" s="1">
        <v>0</v>
      </c>
      <c r="AB742" s="1">
        <v>58</v>
      </c>
      <c r="AC742" s="1">
        <v>73</v>
      </c>
    </row>
    <row r="743" spans="15:29" outlineLevel="1" x14ac:dyDescent="0.45">
      <c r="O743" s="2" t="s">
        <v>446</v>
      </c>
      <c r="P743" s="2">
        <v>1</v>
      </c>
      <c r="Q743" s="2">
        <v>1</v>
      </c>
      <c r="R743" s="2">
        <v>1</v>
      </c>
      <c r="S743" s="2">
        <v>0</v>
      </c>
      <c r="T743" s="2">
        <v>3</v>
      </c>
      <c r="U743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90</v>
      </c>
      <c r="V743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43</v>
      </c>
      <c r="W743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60</v>
      </c>
      <c r="X743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250</v>
      </c>
      <c r="Y743" s="2">
        <f>SUM(THE_RV1000[[#This Row],[THE_RV1000]:[Webometrics_RV1000]])</f>
        <v>443</v>
      </c>
      <c r="Z743" s="2">
        <v>90</v>
      </c>
      <c r="AA743" s="2">
        <v>43</v>
      </c>
      <c r="AB743" s="2">
        <v>60</v>
      </c>
      <c r="AC743" s="2">
        <v>0</v>
      </c>
    </row>
    <row r="744" spans="15:29" outlineLevel="1" x14ac:dyDescent="0.45">
      <c r="O744" s="1" t="s">
        <v>808</v>
      </c>
      <c r="P744" s="1">
        <v>1</v>
      </c>
      <c r="Q744" s="1">
        <v>1</v>
      </c>
      <c r="R744" s="1">
        <v>0</v>
      </c>
      <c r="S744" s="1">
        <v>1</v>
      </c>
      <c r="T744" s="1">
        <v>3</v>
      </c>
      <c r="U744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95</v>
      </c>
      <c r="V744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61</v>
      </c>
      <c r="W744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250</v>
      </c>
      <c r="X744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38</v>
      </c>
      <c r="Y744" s="2">
        <f>SUM(THE_RV1000[[#This Row],[THE_RV1000]:[Webometrics_RV1000]])</f>
        <v>444</v>
      </c>
      <c r="Z744" s="1">
        <v>95</v>
      </c>
      <c r="AA744" s="1">
        <v>61</v>
      </c>
      <c r="AB744" s="1">
        <v>0</v>
      </c>
      <c r="AC744" s="1">
        <v>38</v>
      </c>
    </row>
    <row r="745" spans="15:29" outlineLevel="1" x14ac:dyDescent="0.45">
      <c r="O745" s="2" t="s">
        <v>829</v>
      </c>
      <c r="P745" s="2">
        <v>1</v>
      </c>
      <c r="Q745" s="2">
        <v>1</v>
      </c>
      <c r="R745" s="2">
        <v>0</v>
      </c>
      <c r="S745" s="2">
        <v>1</v>
      </c>
      <c r="T745" s="2">
        <v>3</v>
      </c>
      <c r="U745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64</v>
      </c>
      <c r="V745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57</v>
      </c>
      <c r="W745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250</v>
      </c>
      <c r="X745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76</v>
      </c>
      <c r="Y745" s="2">
        <f>SUM(THE_RV1000[[#This Row],[THE_RV1000]:[Webometrics_RV1000]])</f>
        <v>447</v>
      </c>
      <c r="Z745" s="2">
        <v>64</v>
      </c>
      <c r="AA745" s="2">
        <v>57</v>
      </c>
      <c r="AB745" s="2">
        <v>0</v>
      </c>
      <c r="AC745" s="2">
        <v>76</v>
      </c>
    </row>
    <row r="746" spans="15:29" outlineLevel="1" x14ac:dyDescent="0.45">
      <c r="O746" s="1" t="s">
        <v>234</v>
      </c>
      <c r="P746" s="1">
        <v>1</v>
      </c>
      <c r="Q746" s="1">
        <v>1</v>
      </c>
      <c r="R746" s="1">
        <v>1</v>
      </c>
      <c r="S746" s="1">
        <v>0</v>
      </c>
      <c r="T746" s="1">
        <v>3</v>
      </c>
      <c r="U746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42</v>
      </c>
      <c r="V746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95</v>
      </c>
      <c r="W746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76</v>
      </c>
      <c r="X746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250</v>
      </c>
      <c r="Y746" s="2">
        <f>SUM(THE_RV1000[[#This Row],[THE_RV1000]:[Webometrics_RV1000]])</f>
        <v>463</v>
      </c>
      <c r="Z746" s="1">
        <v>42</v>
      </c>
      <c r="AA746" s="1">
        <v>95</v>
      </c>
      <c r="AB746" s="1">
        <v>76</v>
      </c>
      <c r="AC746" s="1">
        <v>0</v>
      </c>
    </row>
    <row r="747" spans="15:29" outlineLevel="1" x14ac:dyDescent="0.45">
      <c r="O747" s="2" t="s">
        <v>392</v>
      </c>
      <c r="P747" s="2">
        <v>1</v>
      </c>
      <c r="Q747" s="2">
        <v>1</v>
      </c>
      <c r="R747" s="2">
        <v>1</v>
      </c>
      <c r="S747" s="2">
        <v>0</v>
      </c>
      <c r="T747" s="2">
        <v>3</v>
      </c>
      <c r="U747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76</v>
      </c>
      <c r="V747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81</v>
      </c>
      <c r="W747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61</v>
      </c>
      <c r="X747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250</v>
      </c>
      <c r="Y747" s="2">
        <f>SUM(THE_RV1000[[#This Row],[THE_RV1000]:[Webometrics_RV1000]])</f>
        <v>468</v>
      </c>
      <c r="Z747" s="2">
        <v>76</v>
      </c>
      <c r="AA747" s="2">
        <v>81</v>
      </c>
      <c r="AB747" s="2">
        <v>61</v>
      </c>
      <c r="AC747" s="2">
        <v>0</v>
      </c>
    </row>
    <row r="748" spans="15:29" outlineLevel="1" x14ac:dyDescent="0.45">
      <c r="O748" s="1" t="s">
        <v>471</v>
      </c>
      <c r="P748" s="1">
        <v>1</v>
      </c>
      <c r="Q748" s="1">
        <v>1</v>
      </c>
      <c r="R748" s="1">
        <v>0</v>
      </c>
      <c r="S748" s="1">
        <v>1</v>
      </c>
      <c r="T748" s="1">
        <v>3</v>
      </c>
      <c r="U748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98</v>
      </c>
      <c r="V748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64</v>
      </c>
      <c r="W748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250</v>
      </c>
      <c r="X748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58</v>
      </c>
      <c r="Y748" s="2">
        <f>SUM(THE_RV1000[[#This Row],[THE_RV1000]:[Webometrics_RV1000]])</f>
        <v>470</v>
      </c>
      <c r="Z748" s="1">
        <v>98</v>
      </c>
      <c r="AA748" s="1">
        <v>64</v>
      </c>
      <c r="AB748" s="1">
        <v>0</v>
      </c>
      <c r="AC748" s="1">
        <v>58</v>
      </c>
    </row>
    <row r="749" spans="15:29" outlineLevel="1" x14ac:dyDescent="0.45">
      <c r="O749" s="2" t="s">
        <v>369</v>
      </c>
      <c r="P749" s="2">
        <v>1</v>
      </c>
      <c r="Q749" s="2">
        <v>0</v>
      </c>
      <c r="R749" s="2">
        <v>1</v>
      </c>
      <c r="S749" s="2">
        <v>1</v>
      </c>
      <c r="T749" s="2">
        <v>3</v>
      </c>
      <c r="U749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70</v>
      </c>
      <c r="V749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250</v>
      </c>
      <c r="W749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61</v>
      </c>
      <c r="X749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94</v>
      </c>
      <c r="Y749" s="2">
        <f>SUM(THE_RV1000[[#This Row],[THE_RV1000]:[Webometrics_RV1000]])</f>
        <v>475</v>
      </c>
      <c r="Z749" s="2">
        <v>70</v>
      </c>
      <c r="AA749" s="2">
        <v>0</v>
      </c>
      <c r="AB749" s="2">
        <v>61</v>
      </c>
      <c r="AC749" s="2">
        <v>94</v>
      </c>
    </row>
    <row r="750" spans="15:29" outlineLevel="1" x14ac:dyDescent="0.45">
      <c r="O750" s="1" t="s">
        <v>388</v>
      </c>
      <c r="P750" s="1">
        <v>1</v>
      </c>
      <c r="Q750" s="1">
        <v>1</v>
      </c>
      <c r="R750" s="1">
        <v>0</v>
      </c>
      <c r="S750" s="1">
        <v>1</v>
      </c>
      <c r="T750" s="1">
        <v>3</v>
      </c>
      <c r="U750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75</v>
      </c>
      <c r="V750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66</v>
      </c>
      <c r="W750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250</v>
      </c>
      <c r="X750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84</v>
      </c>
      <c r="Y750" s="2">
        <f>SUM(THE_RV1000[[#This Row],[THE_RV1000]:[Webometrics_RV1000]])</f>
        <v>475</v>
      </c>
      <c r="Z750" s="1">
        <v>75</v>
      </c>
      <c r="AA750" s="1">
        <v>66</v>
      </c>
      <c r="AB750" s="1">
        <v>0</v>
      </c>
      <c r="AC750" s="1">
        <v>84</v>
      </c>
    </row>
    <row r="751" spans="15:29" outlineLevel="1" x14ac:dyDescent="0.45">
      <c r="O751" s="2" t="s">
        <v>474</v>
      </c>
      <c r="P751" s="2">
        <v>1</v>
      </c>
      <c r="Q751" s="2">
        <v>0</v>
      </c>
      <c r="R751" s="2">
        <v>1</v>
      </c>
      <c r="S751" s="2">
        <v>1</v>
      </c>
      <c r="T751" s="2">
        <v>3</v>
      </c>
      <c r="U751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99</v>
      </c>
      <c r="V751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250</v>
      </c>
      <c r="W751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54</v>
      </c>
      <c r="X751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89</v>
      </c>
      <c r="Y751" s="2">
        <f>SUM(THE_RV1000[[#This Row],[THE_RV1000]:[Webometrics_RV1000]])</f>
        <v>492</v>
      </c>
      <c r="Z751" s="2">
        <v>99</v>
      </c>
      <c r="AA751" s="2">
        <v>0</v>
      </c>
      <c r="AB751" s="2">
        <v>54</v>
      </c>
      <c r="AC751" s="2">
        <v>89</v>
      </c>
    </row>
    <row r="752" spans="15:29" outlineLevel="1" x14ac:dyDescent="0.45">
      <c r="O752" s="1" t="s">
        <v>270</v>
      </c>
      <c r="P752" s="1">
        <v>1</v>
      </c>
      <c r="Q752" s="1">
        <v>1</v>
      </c>
      <c r="R752" s="1">
        <v>0</v>
      </c>
      <c r="S752" s="1">
        <v>0</v>
      </c>
      <c r="T752" s="1">
        <v>2</v>
      </c>
      <c r="U752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49</v>
      </c>
      <c r="V752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41</v>
      </c>
      <c r="W752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250</v>
      </c>
      <c r="X752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250</v>
      </c>
      <c r="Y752" s="2">
        <f>SUM(THE_RV1000[[#This Row],[THE_RV1000]:[Webometrics_RV1000]])</f>
        <v>590</v>
      </c>
      <c r="Z752" s="1">
        <v>49</v>
      </c>
      <c r="AA752" s="1">
        <v>41</v>
      </c>
      <c r="AB752" s="1">
        <v>0</v>
      </c>
      <c r="AC752" s="1">
        <v>0</v>
      </c>
    </row>
    <row r="753" spans="15:29" outlineLevel="1" x14ac:dyDescent="0.45">
      <c r="O753" s="2" t="s">
        <v>190</v>
      </c>
      <c r="P753" s="2">
        <v>1</v>
      </c>
      <c r="Q753" s="2">
        <v>0</v>
      </c>
      <c r="R753" s="2">
        <v>1</v>
      </c>
      <c r="S753" s="2">
        <v>0</v>
      </c>
      <c r="T753" s="2">
        <v>2</v>
      </c>
      <c r="U753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33</v>
      </c>
      <c r="V753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250</v>
      </c>
      <c r="W753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59</v>
      </c>
      <c r="X753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250</v>
      </c>
      <c r="Y753" s="2">
        <f>SUM(THE_RV1000[[#This Row],[THE_RV1000]:[Webometrics_RV1000]])</f>
        <v>592</v>
      </c>
      <c r="Z753" s="2">
        <v>33</v>
      </c>
      <c r="AA753" s="2">
        <v>0</v>
      </c>
      <c r="AB753" s="2">
        <v>59</v>
      </c>
      <c r="AC753" s="2">
        <v>0</v>
      </c>
    </row>
    <row r="754" spans="15:29" outlineLevel="1" x14ac:dyDescent="0.45">
      <c r="O754" s="1" t="s">
        <v>211</v>
      </c>
      <c r="P754" s="1">
        <v>1</v>
      </c>
      <c r="Q754" s="1">
        <v>0</v>
      </c>
      <c r="R754" s="1">
        <v>1</v>
      </c>
      <c r="S754" s="1">
        <v>0</v>
      </c>
      <c r="T754" s="1">
        <v>2</v>
      </c>
      <c r="U754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37</v>
      </c>
      <c r="V754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250</v>
      </c>
      <c r="W754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56</v>
      </c>
      <c r="X754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250</v>
      </c>
      <c r="Y754" s="2">
        <f>SUM(THE_RV1000[[#This Row],[THE_RV1000]:[Webometrics_RV1000]])</f>
        <v>593</v>
      </c>
      <c r="Z754" s="1">
        <v>37</v>
      </c>
      <c r="AA754" s="1">
        <v>0</v>
      </c>
      <c r="AB754" s="1">
        <v>56</v>
      </c>
      <c r="AC754" s="1">
        <v>0</v>
      </c>
    </row>
    <row r="755" spans="15:29" outlineLevel="1" x14ac:dyDescent="0.45">
      <c r="O755" s="2" t="s">
        <v>319</v>
      </c>
      <c r="P755" s="2">
        <v>1</v>
      </c>
      <c r="Q755" s="2">
        <v>0</v>
      </c>
      <c r="R755" s="2">
        <v>1</v>
      </c>
      <c r="S755" s="2">
        <v>0</v>
      </c>
      <c r="T755" s="2">
        <v>2</v>
      </c>
      <c r="U755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58</v>
      </c>
      <c r="V755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250</v>
      </c>
      <c r="W755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40</v>
      </c>
      <c r="X755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250</v>
      </c>
      <c r="Y755" s="2">
        <f>SUM(THE_RV1000[[#This Row],[THE_RV1000]:[Webometrics_RV1000]])</f>
        <v>598</v>
      </c>
      <c r="Z755" s="2">
        <v>58</v>
      </c>
      <c r="AA755" s="2">
        <v>0</v>
      </c>
      <c r="AB755" s="2">
        <v>40</v>
      </c>
      <c r="AC755" s="2">
        <v>0</v>
      </c>
    </row>
    <row r="756" spans="15:29" outlineLevel="1" x14ac:dyDescent="0.45">
      <c r="O756" s="1" t="s">
        <v>807</v>
      </c>
      <c r="P756" s="1">
        <v>1</v>
      </c>
      <c r="Q756" s="1">
        <v>0</v>
      </c>
      <c r="R756" s="1">
        <v>0</v>
      </c>
      <c r="S756" s="1">
        <v>1</v>
      </c>
      <c r="T756" s="1">
        <v>2</v>
      </c>
      <c r="U756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63</v>
      </c>
      <c r="V756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250</v>
      </c>
      <c r="W756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250</v>
      </c>
      <c r="X756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37</v>
      </c>
      <c r="Y756" s="2">
        <f>SUM(THE_RV1000[[#This Row],[THE_RV1000]:[Webometrics_RV1000]])</f>
        <v>600</v>
      </c>
      <c r="Z756" s="1">
        <v>63</v>
      </c>
      <c r="AA756" s="1">
        <v>0</v>
      </c>
      <c r="AB756" s="1">
        <v>0</v>
      </c>
      <c r="AC756" s="1">
        <v>37</v>
      </c>
    </row>
    <row r="757" spans="15:29" outlineLevel="1" x14ac:dyDescent="0.45">
      <c r="O757" s="2" t="s">
        <v>239</v>
      </c>
      <c r="P757" s="2">
        <v>1</v>
      </c>
      <c r="Q757" s="2">
        <v>0</v>
      </c>
      <c r="R757" s="2">
        <v>1</v>
      </c>
      <c r="S757" s="2">
        <v>0</v>
      </c>
      <c r="T757" s="2">
        <v>2</v>
      </c>
      <c r="U757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43</v>
      </c>
      <c r="V757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250</v>
      </c>
      <c r="W757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65</v>
      </c>
      <c r="X757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250</v>
      </c>
      <c r="Y757" s="2">
        <f>SUM(THE_RV1000[[#This Row],[THE_RV1000]:[Webometrics_RV1000]])</f>
        <v>608</v>
      </c>
      <c r="Z757" s="2">
        <v>43</v>
      </c>
      <c r="AA757" s="2">
        <v>0</v>
      </c>
      <c r="AB757" s="2">
        <v>65</v>
      </c>
      <c r="AC757" s="2">
        <v>0</v>
      </c>
    </row>
    <row r="758" spans="15:29" outlineLevel="1" x14ac:dyDescent="0.45">
      <c r="O758" s="1" t="s">
        <v>372</v>
      </c>
      <c r="P758" s="1">
        <v>1</v>
      </c>
      <c r="Q758" s="1">
        <v>0</v>
      </c>
      <c r="R758" s="1">
        <v>0</v>
      </c>
      <c r="S758" s="1">
        <v>1</v>
      </c>
      <c r="T758" s="1">
        <v>2</v>
      </c>
      <c r="U758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71</v>
      </c>
      <c r="V758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250</v>
      </c>
      <c r="W758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250</v>
      </c>
      <c r="X758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56</v>
      </c>
      <c r="Y758" s="2">
        <f>SUM(THE_RV1000[[#This Row],[THE_RV1000]:[Webometrics_RV1000]])</f>
        <v>627</v>
      </c>
      <c r="Z758" s="1">
        <v>71</v>
      </c>
      <c r="AA758" s="1">
        <v>0</v>
      </c>
      <c r="AB758" s="1">
        <v>0</v>
      </c>
      <c r="AC758" s="1">
        <v>56</v>
      </c>
    </row>
    <row r="759" spans="15:29" outlineLevel="1" x14ac:dyDescent="0.45">
      <c r="O759" s="2" t="s">
        <v>689</v>
      </c>
      <c r="P759" s="2">
        <v>1</v>
      </c>
      <c r="Q759" s="2">
        <v>0</v>
      </c>
      <c r="R759" s="2">
        <v>1</v>
      </c>
      <c r="S759" s="2">
        <v>0</v>
      </c>
      <c r="T759" s="2">
        <v>2</v>
      </c>
      <c r="U759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91</v>
      </c>
      <c r="V759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250</v>
      </c>
      <c r="W759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42</v>
      </c>
      <c r="X759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250</v>
      </c>
      <c r="Y759" s="2">
        <f>SUM(THE_RV1000[[#This Row],[THE_RV1000]:[Webometrics_RV1000]])</f>
        <v>633</v>
      </c>
      <c r="Z759" s="2">
        <v>91</v>
      </c>
      <c r="AA759" s="2">
        <v>0</v>
      </c>
      <c r="AB759" s="2">
        <v>42</v>
      </c>
      <c r="AC759" s="2">
        <v>0</v>
      </c>
    </row>
    <row r="760" spans="15:29" outlineLevel="1" x14ac:dyDescent="0.45">
      <c r="O760" s="1" t="s">
        <v>466</v>
      </c>
      <c r="P760" s="1">
        <v>1</v>
      </c>
      <c r="Q760" s="1">
        <v>0</v>
      </c>
      <c r="R760" s="1">
        <v>1</v>
      </c>
      <c r="S760" s="1">
        <v>0</v>
      </c>
      <c r="T760" s="1">
        <v>2</v>
      </c>
      <c r="U760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95</v>
      </c>
      <c r="V760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250</v>
      </c>
      <c r="W760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48</v>
      </c>
      <c r="X760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250</v>
      </c>
      <c r="Y760" s="2">
        <f>SUM(THE_RV1000[[#This Row],[THE_RV1000]:[Webometrics_RV1000]])</f>
        <v>643</v>
      </c>
      <c r="Z760" s="1">
        <v>95</v>
      </c>
      <c r="AA760" s="1">
        <v>0</v>
      </c>
      <c r="AB760" s="1">
        <v>48</v>
      </c>
      <c r="AC760" s="1">
        <v>0</v>
      </c>
    </row>
    <row r="761" spans="15:29" outlineLevel="1" x14ac:dyDescent="0.45">
      <c r="O761" s="2" t="s">
        <v>403</v>
      </c>
      <c r="P761" s="2">
        <v>1</v>
      </c>
      <c r="Q761" s="2">
        <v>0</v>
      </c>
      <c r="R761" s="2">
        <v>1</v>
      </c>
      <c r="S761" s="2">
        <v>0</v>
      </c>
      <c r="T761" s="2">
        <v>2</v>
      </c>
      <c r="U761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79</v>
      </c>
      <c r="V761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250</v>
      </c>
      <c r="W761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65</v>
      </c>
      <c r="X761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250</v>
      </c>
      <c r="Y761" s="2">
        <f>SUM(THE_RV1000[[#This Row],[THE_RV1000]:[Webometrics_RV1000]])</f>
        <v>644</v>
      </c>
      <c r="Z761" s="2">
        <v>79</v>
      </c>
      <c r="AA761" s="2">
        <v>0</v>
      </c>
      <c r="AB761" s="2">
        <v>65</v>
      </c>
      <c r="AC761" s="2">
        <v>0</v>
      </c>
    </row>
    <row r="762" spans="15:29" outlineLevel="1" x14ac:dyDescent="0.45">
      <c r="O762" s="1" t="s">
        <v>732</v>
      </c>
      <c r="P762" s="1">
        <v>1</v>
      </c>
      <c r="Q762" s="1">
        <v>0</v>
      </c>
      <c r="R762" s="1">
        <v>1</v>
      </c>
      <c r="S762" s="1">
        <v>0</v>
      </c>
      <c r="T762" s="1">
        <v>2</v>
      </c>
      <c r="U762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78</v>
      </c>
      <c r="V762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250</v>
      </c>
      <c r="W762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73</v>
      </c>
      <c r="X762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250</v>
      </c>
      <c r="Y762" s="2">
        <f>SUM(THE_RV1000[[#This Row],[THE_RV1000]:[Webometrics_RV1000]])</f>
        <v>651</v>
      </c>
      <c r="Z762" s="1">
        <v>78</v>
      </c>
      <c r="AA762" s="1">
        <v>0</v>
      </c>
      <c r="AB762" s="1">
        <v>73</v>
      </c>
      <c r="AC762" s="1">
        <v>0</v>
      </c>
    </row>
    <row r="763" spans="15:29" outlineLevel="1" x14ac:dyDescent="0.45">
      <c r="O763" s="2" t="s">
        <v>416</v>
      </c>
      <c r="P763" s="2">
        <v>1</v>
      </c>
      <c r="Q763" s="2">
        <v>0</v>
      </c>
      <c r="R763" s="2">
        <v>0</v>
      </c>
      <c r="S763" s="2">
        <v>1</v>
      </c>
      <c r="T763" s="2">
        <v>2</v>
      </c>
      <c r="U763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82</v>
      </c>
      <c r="V763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250</v>
      </c>
      <c r="W763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250</v>
      </c>
      <c r="X763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72</v>
      </c>
      <c r="Y763" s="2">
        <f>SUM(THE_RV1000[[#This Row],[THE_RV1000]:[Webometrics_RV1000]])</f>
        <v>654</v>
      </c>
      <c r="Z763" s="2">
        <v>82</v>
      </c>
      <c r="AA763" s="2">
        <v>0</v>
      </c>
      <c r="AB763" s="2">
        <v>0</v>
      </c>
      <c r="AC763" s="2">
        <v>72</v>
      </c>
    </row>
    <row r="764" spans="15:29" outlineLevel="1" x14ac:dyDescent="0.45">
      <c r="O764" s="1" t="s">
        <v>420</v>
      </c>
      <c r="P764" s="1">
        <v>1</v>
      </c>
      <c r="Q764" s="1">
        <v>0</v>
      </c>
      <c r="R764" s="1">
        <v>1</v>
      </c>
      <c r="S764" s="1">
        <v>0</v>
      </c>
      <c r="T764" s="1">
        <v>2</v>
      </c>
      <c r="U764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82</v>
      </c>
      <c r="V764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250</v>
      </c>
      <c r="W764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81</v>
      </c>
      <c r="X764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250</v>
      </c>
      <c r="Y764" s="2">
        <f>SUM(THE_RV1000[[#This Row],[THE_RV1000]:[Webometrics_RV1000]])</f>
        <v>663</v>
      </c>
      <c r="Z764" s="1">
        <v>82</v>
      </c>
      <c r="AA764" s="1">
        <v>0</v>
      </c>
      <c r="AB764" s="1">
        <v>81</v>
      </c>
      <c r="AC764" s="1">
        <v>0</v>
      </c>
    </row>
    <row r="765" spans="15:29" outlineLevel="1" x14ac:dyDescent="0.45">
      <c r="O765" s="2" t="s">
        <v>443</v>
      </c>
      <c r="P765" s="2">
        <v>1</v>
      </c>
      <c r="Q765" s="2">
        <v>1</v>
      </c>
      <c r="R765" s="2">
        <v>0</v>
      </c>
      <c r="S765" s="2">
        <v>0</v>
      </c>
      <c r="T765" s="2">
        <v>2</v>
      </c>
      <c r="U765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89</v>
      </c>
      <c r="V765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76</v>
      </c>
      <c r="W765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250</v>
      </c>
      <c r="X765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250</v>
      </c>
      <c r="Y765" s="2">
        <f>SUM(THE_RV1000[[#This Row],[THE_RV1000]:[Webometrics_RV1000]])</f>
        <v>665</v>
      </c>
      <c r="Z765" s="2">
        <v>89</v>
      </c>
      <c r="AA765" s="2">
        <v>76</v>
      </c>
      <c r="AB765" s="2">
        <v>0</v>
      </c>
      <c r="AC765" s="2">
        <v>0</v>
      </c>
    </row>
    <row r="766" spans="15:29" outlineLevel="1" x14ac:dyDescent="0.45">
      <c r="O766" s="1" t="s">
        <v>408</v>
      </c>
      <c r="P766" s="1">
        <v>1</v>
      </c>
      <c r="Q766" s="1">
        <v>1</v>
      </c>
      <c r="R766" s="1">
        <v>0</v>
      </c>
      <c r="S766" s="1">
        <v>0</v>
      </c>
      <c r="T766" s="1">
        <v>2</v>
      </c>
      <c r="U766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80</v>
      </c>
      <c r="V766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87</v>
      </c>
      <c r="W766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250</v>
      </c>
      <c r="X766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250</v>
      </c>
      <c r="Y766" s="2">
        <f>SUM(THE_RV1000[[#This Row],[THE_RV1000]:[Webometrics_RV1000]])</f>
        <v>667</v>
      </c>
      <c r="Z766" s="1">
        <v>80</v>
      </c>
      <c r="AA766" s="1">
        <v>87</v>
      </c>
      <c r="AB766" s="1">
        <v>0</v>
      </c>
      <c r="AC766" s="1">
        <v>0</v>
      </c>
    </row>
    <row r="767" spans="15:29" outlineLevel="1" x14ac:dyDescent="0.45">
      <c r="O767" s="2" t="s">
        <v>428</v>
      </c>
      <c r="P767" s="2">
        <v>1</v>
      </c>
      <c r="Q767" s="2">
        <v>1</v>
      </c>
      <c r="R767" s="2">
        <v>0</v>
      </c>
      <c r="S767" s="2">
        <v>0</v>
      </c>
      <c r="T767" s="2">
        <v>2</v>
      </c>
      <c r="U767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85</v>
      </c>
      <c r="V767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90</v>
      </c>
      <c r="W767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250</v>
      </c>
      <c r="X767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250</v>
      </c>
      <c r="Y767" s="2">
        <f>SUM(THE_RV1000[[#This Row],[THE_RV1000]:[Webometrics_RV1000]])</f>
        <v>675</v>
      </c>
      <c r="Z767" s="2">
        <v>85</v>
      </c>
      <c r="AA767" s="2">
        <v>90</v>
      </c>
      <c r="AB767" s="2">
        <v>0</v>
      </c>
      <c r="AC767" s="2">
        <v>0</v>
      </c>
    </row>
    <row r="768" spans="15:29" outlineLevel="1" x14ac:dyDescent="0.45">
      <c r="O768" s="1" t="s">
        <v>440</v>
      </c>
      <c r="P768" s="1">
        <v>1</v>
      </c>
      <c r="Q768" s="1">
        <v>0</v>
      </c>
      <c r="R768" s="1">
        <v>0</v>
      </c>
      <c r="S768" s="1">
        <v>1</v>
      </c>
      <c r="T768" s="1">
        <v>2</v>
      </c>
      <c r="U768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88</v>
      </c>
      <c r="V768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250</v>
      </c>
      <c r="W768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250</v>
      </c>
      <c r="X768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99</v>
      </c>
      <c r="Y768" s="2">
        <f>SUM(THE_RV1000[[#This Row],[THE_RV1000]:[Webometrics_RV1000]])</f>
        <v>687</v>
      </c>
      <c r="Z768" s="1">
        <v>88</v>
      </c>
      <c r="AA768" s="1">
        <v>0</v>
      </c>
      <c r="AB768" s="1">
        <v>0</v>
      </c>
      <c r="AC768" s="1">
        <v>99</v>
      </c>
    </row>
    <row r="769" spans="15:29" outlineLevel="1" x14ac:dyDescent="0.45">
      <c r="O769" s="2" t="s">
        <v>322</v>
      </c>
      <c r="P769" s="2">
        <v>1</v>
      </c>
      <c r="Q769" s="2">
        <v>0</v>
      </c>
      <c r="R769" s="2">
        <v>0</v>
      </c>
      <c r="S769" s="2">
        <v>0</v>
      </c>
      <c r="T769" s="2">
        <v>1</v>
      </c>
      <c r="U769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59</v>
      </c>
      <c r="V769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250</v>
      </c>
      <c r="W769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250</v>
      </c>
      <c r="X769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250</v>
      </c>
      <c r="Y769" s="2">
        <f>SUM(THE_RV1000[[#This Row],[THE_RV1000]:[Webometrics_RV1000]])</f>
        <v>809</v>
      </c>
      <c r="Z769" s="2">
        <v>59</v>
      </c>
      <c r="AA769" s="2">
        <v>0</v>
      </c>
      <c r="AB769" s="2">
        <v>0</v>
      </c>
      <c r="AC769" s="2">
        <v>0</v>
      </c>
    </row>
    <row r="770" spans="15:29" outlineLevel="1" x14ac:dyDescent="0.45">
      <c r="O770" s="1" t="s">
        <v>381</v>
      </c>
      <c r="P770" s="1">
        <v>1</v>
      </c>
      <c r="Q770" s="1">
        <v>0</v>
      </c>
      <c r="R770" s="1">
        <v>0</v>
      </c>
      <c r="S770" s="1">
        <v>0</v>
      </c>
      <c r="T770" s="1">
        <v>1</v>
      </c>
      <c r="U770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73</v>
      </c>
      <c r="V770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250</v>
      </c>
      <c r="W770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250</v>
      </c>
      <c r="X770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250</v>
      </c>
      <c r="Y770" s="2">
        <f>SUM(THE_RV1000[[#This Row],[THE_RV1000]:[Webometrics_RV1000]])</f>
        <v>823</v>
      </c>
      <c r="Z770" s="1">
        <v>73</v>
      </c>
      <c r="AA770" s="1">
        <v>0</v>
      </c>
      <c r="AB770" s="1">
        <v>0</v>
      </c>
      <c r="AC770" s="1">
        <v>0</v>
      </c>
    </row>
    <row r="771" spans="15:29" outlineLevel="1" x14ac:dyDescent="0.45">
      <c r="O771" s="2" t="s">
        <v>395</v>
      </c>
      <c r="P771" s="2">
        <v>1</v>
      </c>
      <c r="Q771" s="2">
        <v>0</v>
      </c>
      <c r="R771" s="2">
        <v>0</v>
      </c>
      <c r="S771" s="2">
        <v>0</v>
      </c>
      <c r="T771" s="2">
        <v>1</v>
      </c>
      <c r="U771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77</v>
      </c>
      <c r="V771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250</v>
      </c>
      <c r="W771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250</v>
      </c>
      <c r="X771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250</v>
      </c>
      <c r="Y771" s="2">
        <f>SUM(THE_RV1000[[#This Row],[THE_RV1000]:[Webometrics_RV1000]])</f>
        <v>827</v>
      </c>
      <c r="Z771" s="2">
        <v>77</v>
      </c>
      <c r="AA771" s="2">
        <v>0</v>
      </c>
      <c r="AB771" s="2">
        <v>0</v>
      </c>
      <c r="AC771" s="2">
        <v>0</v>
      </c>
    </row>
    <row r="772" spans="15:29" outlineLevel="1" x14ac:dyDescent="0.45">
      <c r="O772" s="1" t="s">
        <v>434</v>
      </c>
      <c r="P772" s="1">
        <v>1</v>
      </c>
      <c r="Q772" s="1">
        <v>0</v>
      </c>
      <c r="R772" s="1">
        <v>0</v>
      </c>
      <c r="S772" s="1">
        <v>0</v>
      </c>
      <c r="T772" s="1">
        <v>1</v>
      </c>
      <c r="U772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86</v>
      </c>
      <c r="V772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250</v>
      </c>
      <c r="W772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250</v>
      </c>
      <c r="X772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250</v>
      </c>
      <c r="Y772" s="2">
        <f>SUM(THE_RV1000[[#This Row],[THE_RV1000]:[Webometrics_RV1000]])</f>
        <v>836</v>
      </c>
      <c r="Z772" s="1">
        <v>86</v>
      </c>
      <c r="AA772" s="1">
        <v>0</v>
      </c>
      <c r="AB772" s="1">
        <v>0</v>
      </c>
      <c r="AC772" s="1">
        <v>0</v>
      </c>
    </row>
    <row r="773" spans="15:29" outlineLevel="1" x14ac:dyDescent="0.45">
      <c r="O773" s="2" t="s">
        <v>438</v>
      </c>
      <c r="P773" s="2">
        <v>1</v>
      </c>
      <c r="Q773" s="2">
        <v>0</v>
      </c>
      <c r="R773" s="2">
        <v>0</v>
      </c>
      <c r="S773" s="2">
        <v>0</v>
      </c>
      <c r="T773" s="2">
        <v>1</v>
      </c>
      <c r="U773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86</v>
      </c>
      <c r="V773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250</v>
      </c>
      <c r="W773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250</v>
      </c>
      <c r="X773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250</v>
      </c>
      <c r="Y773" s="2">
        <f>SUM(THE_RV1000[[#This Row],[THE_RV1000]:[Webometrics_RV1000]])</f>
        <v>836</v>
      </c>
      <c r="Z773" s="2">
        <v>86</v>
      </c>
      <c r="AA773" s="2">
        <v>0</v>
      </c>
      <c r="AB773" s="2">
        <v>0</v>
      </c>
      <c r="AC773" s="2">
        <v>0</v>
      </c>
    </row>
    <row r="774" spans="15:29" outlineLevel="1" x14ac:dyDescent="0.45">
      <c r="O774" s="1" t="s">
        <v>451</v>
      </c>
      <c r="P774" s="1">
        <v>1</v>
      </c>
      <c r="Q774" s="1">
        <v>0</v>
      </c>
      <c r="R774" s="1">
        <v>0</v>
      </c>
      <c r="S774" s="1">
        <v>0</v>
      </c>
      <c r="T774" s="1">
        <v>1</v>
      </c>
      <c r="U774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91</v>
      </c>
      <c r="V774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250</v>
      </c>
      <c r="W774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250</v>
      </c>
      <c r="X774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250</v>
      </c>
      <c r="Y774" s="2">
        <f>SUM(THE_RV1000[[#This Row],[THE_RV1000]:[Webometrics_RV1000]])</f>
        <v>841</v>
      </c>
      <c r="Z774" s="1">
        <v>91</v>
      </c>
      <c r="AA774" s="1">
        <v>0</v>
      </c>
      <c r="AB774" s="1">
        <v>0</v>
      </c>
      <c r="AC774" s="1">
        <v>0</v>
      </c>
    </row>
    <row r="775" spans="15:29" outlineLevel="1" x14ac:dyDescent="0.45">
      <c r="O775" s="2" t="s">
        <v>460</v>
      </c>
      <c r="P775" s="2">
        <v>1</v>
      </c>
      <c r="Q775" s="2">
        <v>0</v>
      </c>
      <c r="R775" s="2">
        <v>0</v>
      </c>
      <c r="S775" s="2">
        <v>0</v>
      </c>
      <c r="T775" s="2">
        <v>1</v>
      </c>
      <c r="U775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94</v>
      </c>
      <c r="V775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250</v>
      </c>
      <c r="W775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250</v>
      </c>
      <c r="X775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250</v>
      </c>
      <c r="Y775" s="2">
        <f>SUM(THE_RV1000[[#This Row],[THE_RV1000]:[Webometrics_RV1000]])</f>
        <v>844</v>
      </c>
      <c r="Z775" s="2">
        <v>94</v>
      </c>
      <c r="AA775" s="2">
        <v>0</v>
      </c>
      <c r="AB775" s="2">
        <v>0</v>
      </c>
      <c r="AC775" s="2">
        <v>0</v>
      </c>
    </row>
    <row r="776" spans="15:29" outlineLevel="1" x14ac:dyDescent="0.45">
      <c r="O776" s="1" t="s">
        <v>469</v>
      </c>
      <c r="P776" s="1">
        <v>1</v>
      </c>
      <c r="Q776" s="1">
        <v>0</v>
      </c>
      <c r="R776" s="1">
        <v>0</v>
      </c>
      <c r="S776" s="1">
        <v>0</v>
      </c>
      <c r="T776" s="1">
        <v>1</v>
      </c>
      <c r="U776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95</v>
      </c>
      <c r="V776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250</v>
      </c>
      <c r="W776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250</v>
      </c>
      <c r="X776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250</v>
      </c>
      <c r="Y776" s="2">
        <f>SUM(THE_RV1000[[#This Row],[THE_RV1000]:[Webometrics_RV1000]])</f>
        <v>845</v>
      </c>
      <c r="Z776" s="1">
        <v>95</v>
      </c>
      <c r="AA776" s="1">
        <v>0</v>
      </c>
      <c r="AB776" s="1">
        <v>0</v>
      </c>
      <c r="AC776" s="1">
        <v>0</v>
      </c>
    </row>
    <row r="777" spans="15:29" outlineLevel="1" x14ac:dyDescent="0.45">
      <c r="O777" s="11" t="s">
        <v>477</v>
      </c>
      <c r="P777" s="11">
        <v>1</v>
      </c>
      <c r="Q777" s="11">
        <v>0</v>
      </c>
      <c r="R777" s="11">
        <v>0</v>
      </c>
      <c r="S777" s="11">
        <v>0</v>
      </c>
      <c r="T777" s="11">
        <v>1</v>
      </c>
      <c r="U777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99</v>
      </c>
      <c r="V777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250</v>
      </c>
      <c r="W777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250</v>
      </c>
      <c r="X777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250</v>
      </c>
      <c r="Y777" s="2">
        <f>SUM(THE_RV1000[[#This Row],[THE_RV1000]:[Webometrics_RV1000]])</f>
        <v>849</v>
      </c>
      <c r="Z777" s="11">
        <v>99</v>
      </c>
      <c r="AA777" s="11">
        <v>0</v>
      </c>
      <c r="AB777" s="11">
        <v>0</v>
      </c>
      <c r="AC777" s="11">
        <v>0</v>
      </c>
    </row>
    <row r="778" spans="15:29" x14ac:dyDescent="0.45">
      <c r="O778" s="11"/>
      <c r="P778" s="11"/>
      <c r="Q778" s="11"/>
      <c r="R778" s="11"/>
      <c r="S778" s="11"/>
      <c r="T778" s="11"/>
      <c r="U778" s="11">
        <f>SUBTOTAL(109,THE_RV1000[THE_RV1000])</f>
        <v>5036</v>
      </c>
      <c r="V778" s="11"/>
      <c r="W778" s="11"/>
      <c r="X778" s="11"/>
      <c r="Y778" s="11"/>
      <c r="Z778" s="11"/>
      <c r="AA778" s="11"/>
      <c r="AB778" s="11"/>
      <c r="AC778" s="11"/>
    </row>
    <row r="779" spans="15:29" x14ac:dyDescent="0.45">
      <c r="O779" t="s">
        <v>892</v>
      </c>
    </row>
    <row r="780" spans="15:29" x14ac:dyDescent="0.45">
      <c r="O780" s="7" t="s">
        <v>855</v>
      </c>
      <c r="P780" s="7" t="s">
        <v>846</v>
      </c>
      <c r="Q780" s="7" t="s">
        <v>848</v>
      </c>
      <c r="R780" s="7" t="s">
        <v>849</v>
      </c>
      <c r="S780" s="7" t="s">
        <v>850</v>
      </c>
      <c r="T780" s="7" t="s">
        <v>861</v>
      </c>
      <c r="U780" s="7" t="s">
        <v>875</v>
      </c>
      <c r="V780" s="7" t="s">
        <v>876</v>
      </c>
      <c r="W780" s="7" t="s">
        <v>877</v>
      </c>
      <c r="X780" s="7" t="s">
        <v>878</v>
      </c>
      <c r="Y780" s="7" t="s">
        <v>874</v>
      </c>
      <c r="Z780" s="7" t="s">
        <v>870</v>
      </c>
      <c r="AA780" s="7" t="s">
        <v>871</v>
      </c>
      <c r="AB780" s="7" t="s">
        <v>872</v>
      </c>
      <c r="AC780" s="7" t="s">
        <v>873</v>
      </c>
    </row>
    <row r="781" spans="15:29" outlineLevel="1" x14ac:dyDescent="0.45">
      <c r="O781" s="1" t="s">
        <v>8</v>
      </c>
      <c r="P781" s="1">
        <v>1</v>
      </c>
      <c r="Q781" s="1">
        <v>1</v>
      </c>
      <c r="R781" s="1">
        <v>1</v>
      </c>
      <c r="S781" s="1">
        <v>1</v>
      </c>
      <c r="T781" s="1">
        <v>4</v>
      </c>
      <c r="U781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2</v>
      </c>
      <c r="V781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1</v>
      </c>
      <c r="W781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5</v>
      </c>
      <c r="X781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1</v>
      </c>
      <c r="Y781" s="2">
        <f>SUM(ARWU_RV1000[[#This Row],[THE_RV1000]:[Webometrics_RV1000]])</f>
        <v>9</v>
      </c>
      <c r="Z781" s="1">
        <v>2</v>
      </c>
      <c r="AA781" s="1">
        <v>1</v>
      </c>
      <c r="AB781" s="1">
        <v>5</v>
      </c>
      <c r="AC781" s="1">
        <v>1</v>
      </c>
    </row>
    <row r="782" spans="15:29" outlineLevel="1" x14ac:dyDescent="0.45">
      <c r="O782" s="2" t="s">
        <v>21</v>
      </c>
      <c r="P782" s="2">
        <v>1</v>
      </c>
      <c r="Q782" s="2">
        <v>1</v>
      </c>
      <c r="R782" s="2">
        <v>1</v>
      </c>
      <c r="S782" s="2">
        <v>1</v>
      </c>
      <c r="T782" s="2">
        <v>4</v>
      </c>
      <c r="U782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3</v>
      </c>
      <c r="V782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2</v>
      </c>
      <c r="W782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3</v>
      </c>
      <c r="X782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2</v>
      </c>
      <c r="Y782" s="2">
        <f>SUM(ARWU_RV1000[[#This Row],[THE_RV1000]:[Webometrics_RV1000]])</f>
        <v>10</v>
      </c>
      <c r="Z782" s="2">
        <v>3</v>
      </c>
      <c r="AA782" s="2">
        <v>2</v>
      </c>
      <c r="AB782" s="2">
        <v>3</v>
      </c>
      <c r="AC782" s="2">
        <v>2</v>
      </c>
    </row>
    <row r="783" spans="15:29" outlineLevel="1" x14ac:dyDescent="0.45">
      <c r="O783" s="1" t="s">
        <v>27</v>
      </c>
      <c r="P783" s="1">
        <v>1</v>
      </c>
      <c r="Q783" s="1">
        <v>1</v>
      </c>
      <c r="R783" s="1">
        <v>1</v>
      </c>
      <c r="S783" s="1">
        <v>1</v>
      </c>
      <c r="T783" s="1">
        <v>4</v>
      </c>
      <c r="U783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5</v>
      </c>
      <c r="V783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3</v>
      </c>
      <c r="W783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1</v>
      </c>
      <c r="X783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3</v>
      </c>
      <c r="Y783" s="2">
        <f>SUM(ARWU_RV1000[[#This Row],[THE_RV1000]:[Webometrics_RV1000]])</f>
        <v>12</v>
      </c>
      <c r="Z783" s="1">
        <v>5</v>
      </c>
      <c r="AA783" s="1">
        <v>3</v>
      </c>
      <c r="AB783" s="1">
        <v>1</v>
      </c>
      <c r="AC783" s="1">
        <v>3</v>
      </c>
    </row>
    <row r="784" spans="15:29" outlineLevel="1" x14ac:dyDescent="0.45">
      <c r="O784" s="2" t="s">
        <v>0</v>
      </c>
      <c r="P784" s="2">
        <v>1</v>
      </c>
      <c r="Q784" s="2">
        <v>1</v>
      </c>
      <c r="R784" s="2">
        <v>1</v>
      </c>
      <c r="S784" s="2">
        <v>1</v>
      </c>
      <c r="T784" s="2">
        <v>4</v>
      </c>
      <c r="U784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1</v>
      </c>
      <c r="V784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7</v>
      </c>
      <c r="W784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4</v>
      </c>
      <c r="X784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5</v>
      </c>
      <c r="Y784" s="2">
        <f>SUM(ARWU_RV1000[[#This Row],[THE_RV1000]:[Webometrics_RV1000]])</f>
        <v>17</v>
      </c>
      <c r="Z784" s="2">
        <v>1</v>
      </c>
      <c r="AA784" s="2">
        <v>7</v>
      </c>
      <c r="AB784" s="2">
        <v>4</v>
      </c>
      <c r="AC784" s="2">
        <v>5</v>
      </c>
    </row>
    <row r="785" spans="15:29" outlineLevel="1" x14ac:dyDescent="0.45">
      <c r="O785" s="1" t="s">
        <v>15</v>
      </c>
      <c r="P785" s="1">
        <v>1</v>
      </c>
      <c r="Q785" s="1">
        <v>1</v>
      </c>
      <c r="R785" s="1">
        <v>1</v>
      </c>
      <c r="S785" s="1">
        <v>1</v>
      </c>
      <c r="T785" s="1">
        <v>4</v>
      </c>
      <c r="U785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3</v>
      </c>
      <c r="V785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4</v>
      </c>
      <c r="W785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2</v>
      </c>
      <c r="X785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12</v>
      </c>
      <c r="Y785" s="2">
        <f>SUM(ARWU_RV1000[[#This Row],[THE_RV1000]:[Webometrics_RV1000]])</f>
        <v>21</v>
      </c>
      <c r="Z785" s="1">
        <v>3</v>
      </c>
      <c r="AA785" s="1">
        <v>4</v>
      </c>
      <c r="AB785" s="1">
        <v>2</v>
      </c>
      <c r="AC785" s="1">
        <v>12</v>
      </c>
    </row>
    <row r="786" spans="15:29" outlineLevel="1" x14ac:dyDescent="0.45">
      <c r="O786" s="2" t="s">
        <v>792</v>
      </c>
      <c r="P786" s="2">
        <v>1</v>
      </c>
      <c r="Q786" s="2">
        <v>1</v>
      </c>
      <c r="R786" s="2">
        <v>1</v>
      </c>
      <c r="S786" s="2">
        <v>1</v>
      </c>
      <c r="T786" s="2">
        <v>4</v>
      </c>
      <c r="U786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8</v>
      </c>
      <c r="V786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5</v>
      </c>
      <c r="W786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27</v>
      </c>
      <c r="X786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4</v>
      </c>
      <c r="Y786" s="2">
        <f>SUM(ARWU_RV1000[[#This Row],[THE_RV1000]:[Webometrics_RV1000]])</f>
        <v>44</v>
      </c>
      <c r="Z786" s="2">
        <v>8</v>
      </c>
      <c r="AA786" s="2">
        <v>5</v>
      </c>
      <c r="AB786" s="2">
        <v>27</v>
      </c>
      <c r="AC786" s="2">
        <v>4</v>
      </c>
    </row>
    <row r="787" spans="15:29" outlineLevel="1" x14ac:dyDescent="0.45">
      <c r="O787" s="1" t="s">
        <v>61</v>
      </c>
      <c r="P787" s="1">
        <v>1</v>
      </c>
      <c r="Q787" s="1">
        <v>1</v>
      </c>
      <c r="R787" s="1">
        <v>1</v>
      </c>
      <c r="S787" s="1">
        <v>1</v>
      </c>
      <c r="T787" s="1">
        <v>4</v>
      </c>
      <c r="U787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11</v>
      </c>
      <c r="V787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8</v>
      </c>
      <c r="W787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22</v>
      </c>
      <c r="X787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9</v>
      </c>
      <c r="Y787" s="2">
        <f>SUM(ARWU_RV1000[[#This Row],[THE_RV1000]:[Webometrics_RV1000]])</f>
        <v>50</v>
      </c>
      <c r="Z787" s="1">
        <v>11</v>
      </c>
      <c r="AA787" s="1">
        <v>8</v>
      </c>
      <c r="AB787" s="1">
        <v>22</v>
      </c>
      <c r="AC787" s="1">
        <v>9</v>
      </c>
    </row>
    <row r="788" spans="15:29" outlineLevel="1" x14ac:dyDescent="0.45">
      <c r="O788" s="2" t="s">
        <v>48</v>
      </c>
      <c r="P788" s="2">
        <v>1</v>
      </c>
      <c r="Q788" s="2">
        <v>1</v>
      </c>
      <c r="R788" s="2">
        <v>1</v>
      </c>
      <c r="S788" s="2">
        <v>1</v>
      </c>
      <c r="T788" s="2">
        <v>4</v>
      </c>
      <c r="U788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9</v>
      </c>
      <c r="V788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11</v>
      </c>
      <c r="W788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18</v>
      </c>
      <c r="X788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14</v>
      </c>
      <c r="Y788" s="2">
        <f>SUM(ARWU_RV1000[[#This Row],[THE_RV1000]:[Webometrics_RV1000]])</f>
        <v>52</v>
      </c>
      <c r="Z788" s="2">
        <v>9</v>
      </c>
      <c r="AA788" s="2">
        <v>11</v>
      </c>
      <c r="AB788" s="2">
        <v>18</v>
      </c>
      <c r="AC788" s="2">
        <v>14</v>
      </c>
    </row>
    <row r="789" spans="15:29" outlineLevel="1" x14ac:dyDescent="0.45">
      <c r="O789" s="1" t="s">
        <v>79</v>
      </c>
      <c r="P789" s="1">
        <v>1</v>
      </c>
      <c r="Q789" s="1">
        <v>1</v>
      </c>
      <c r="R789" s="1">
        <v>1</v>
      </c>
      <c r="S789" s="1">
        <v>1</v>
      </c>
      <c r="T789" s="1">
        <v>4</v>
      </c>
      <c r="U789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14</v>
      </c>
      <c r="V789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15</v>
      </c>
      <c r="W789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13</v>
      </c>
      <c r="X789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11</v>
      </c>
      <c r="Y789" s="2">
        <f>SUM(ARWU_RV1000[[#This Row],[THE_RV1000]:[Webometrics_RV1000]])</f>
        <v>53</v>
      </c>
      <c r="Z789" s="1">
        <v>14</v>
      </c>
      <c r="AA789" s="1">
        <v>15</v>
      </c>
      <c r="AB789" s="1">
        <v>13</v>
      </c>
      <c r="AC789" s="1">
        <v>11</v>
      </c>
    </row>
    <row r="790" spans="15:29" outlineLevel="1" x14ac:dyDescent="0.45">
      <c r="O790" s="2" t="s">
        <v>36</v>
      </c>
      <c r="P790" s="2">
        <v>1</v>
      </c>
      <c r="Q790" s="2">
        <v>1</v>
      </c>
      <c r="R790" s="2">
        <v>1</v>
      </c>
      <c r="S790" s="2">
        <v>1</v>
      </c>
      <c r="T790" s="2">
        <v>4</v>
      </c>
      <c r="U790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7</v>
      </c>
      <c r="V790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6</v>
      </c>
      <c r="W790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16</v>
      </c>
      <c r="X790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26</v>
      </c>
      <c r="Y790" s="2">
        <f>SUM(ARWU_RV1000[[#This Row],[THE_RV1000]:[Webometrics_RV1000]])</f>
        <v>55</v>
      </c>
      <c r="Z790" s="2">
        <v>7</v>
      </c>
      <c r="AA790" s="2">
        <v>6</v>
      </c>
      <c r="AB790" s="2">
        <v>16</v>
      </c>
      <c r="AC790" s="2">
        <v>26</v>
      </c>
    </row>
    <row r="791" spans="15:29" outlineLevel="1" x14ac:dyDescent="0.45">
      <c r="O791" s="1" t="s">
        <v>118</v>
      </c>
      <c r="P791" s="1">
        <v>1</v>
      </c>
      <c r="Q791" s="1">
        <v>1</v>
      </c>
      <c r="R791" s="1">
        <v>1</v>
      </c>
      <c r="S791" s="1">
        <v>1</v>
      </c>
      <c r="T791" s="1">
        <v>4</v>
      </c>
      <c r="U791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20</v>
      </c>
      <c r="V791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12</v>
      </c>
      <c r="W791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20</v>
      </c>
      <c r="X791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8</v>
      </c>
      <c r="Y791" s="2">
        <f>SUM(ARWU_RV1000[[#This Row],[THE_RV1000]:[Webometrics_RV1000]])</f>
        <v>60</v>
      </c>
      <c r="Z791" s="1">
        <v>20</v>
      </c>
      <c r="AA791" s="1">
        <v>12</v>
      </c>
      <c r="AB791" s="1">
        <v>20</v>
      </c>
      <c r="AC791" s="1">
        <v>8</v>
      </c>
    </row>
    <row r="792" spans="15:29" outlineLevel="1" x14ac:dyDescent="0.45">
      <c r="O792" s="2" t="s">
        <v>501</v>
      </c>
      <c r="P792" s="2">
        <v>1</v>
      </c>
      <c r="Q792" s="2">
        <v>1</v>
      </c>
      <c r="R792" s="2">
        <v>1</v>
      </c>
      <c r="S792" s="2">
        <v>1</v>
      </c>
      <c r="T792" s="2">
        <v>4</v>
      </c>
      <c r="U792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13</v>
      </c>
      <c r="V792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10</v>
      </c>
      <c r="W792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10</v>
      </c>
      <c r="X792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29</v>
      </c>
      <c r="Y792" s="2">
        <f>SUM(ARWU_RV1000[[#This Row],[THE_RV1000]:[Webometrics_RV1000]])</f>
        <v>62</v>
      </c>
      <c r="Z792" s="2">
        <v>13</v>
      </c>
      <c r="AA792" s="2">
        <v>10</v>
      </c>
      <c r="AB792" s="2">
        <v>10</v>
      </c>
      <c r="AC792" s="2">
        <v>29</v>
      </c>
    </row>
    <row r="793" spans="15:29" outlineLevel="1" x14ac:dyDescent="0.45">
      <c r="O793" s="1" t="s">
        <v>83</v>
      </c>
      <c r="P793" s="1">
        <v>1</v>
      </c>
      <c r="Q793" s="1">
        <v>1</v>
      </c>
      <c r="R793" s="1">
        <v>1</v>
      </c>
      <c r="S793" s="1">
        <v>1</v>
      </c>
      <c r="T793" s="1">
        <v>4</v>
      </c>
      <c r="U793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15</v>
      </c>
      <c r="V793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14</v>
      </c>
      <c r="W793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24</v>
      </c>
      <c r="X793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10</v>
      </c>
      <c r="Y793" s="2">
        <f>SUM(ARWU_RV1000[[#This Row],[THE_RV1000]:[Webometrics_RV1000]])</f>
        <v>63</v>
      </c>
      <c r="Z793" s="1">
        <v>15</v>
      </c>
      <c r="AA793" s="1">
        <v>14</v>
      </c>
      <c r="AB793" s="1">
        <v>24</v>
      </c>
      <c r="AC793" s="1">
        <v>10</v>
      </c>
    </row>
    <row r="794" spans="15:29" outlineLevel="1" x14ac:dyDescent="0.45">
      <c r="O794" s="2" t="s">
        <v>796</v>
      </c>
      <c r="P794" s="2">
        <v>1</v>
      </c>
      <c r="Q794" s="2">
        <v>1</v>
      </c>
      <c r="R794" s="2">
        <v>1</v>
      </c>
      <c r="S794" s="2">
        <v>1</v>
      </c>
      <c r="T794" s="2">
        <v>4</v>
      </c>
      <c r="U794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22</v>
      </c>
      <c r="V794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18</v>
      </c>
      <c r="W794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8</v>
      </c>
      <c r="X794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15</v>
      </c>
      <c r="Y794" s="2">
        <f>SUM(ARWU_RV1000[[#This Row],[THE_RV1000]:[Webometrics_RV1000]])</f>
        <v>63</v>
      </c>
      <c r="Z794" s="2">
        <v>22</v>
      </c>
      <c r="AA794" s="2">
        <v>18</v>
      </c>
      <c r="AB794" s="2">
        <v>8</v>
      </c>
      <c r="AC794" s="2">
        <v>15</v>
      </c>
    </row>
    <row r="795" spans="15:29" outlineLevel="1" x14ac:dyDescent="0.45">
      <c r="O795" s="1" t="s">
        <v>67</v>
      </c>
      <c r="P795" s="1">
        <v>1</v>
      </c>
      <c r="Q795" s="1">
        <v>1</v>
      </c>
      <c r="R795" s="1">
        <v>1</v>
      </c>
      <c r="S795" s="1">
        <v>1</v>
      </c>
      <c r="T795" s="1">
        <v>4</v>
      </c>
      <c r="U795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11</v>
      </c>
      <c r="V795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20</v>
      </c>
      <c r="W795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9</v>
      </c>
      <c r="X795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30</v>
      </c>
      <c r="Y795" s="2">
        <f>SUM(ARWU_RV1000[[#This Row],[THE_RV1000]:[Webometrics_RV1000]])</f>
        <v>70</v>
      </c>
      <c r="Z795" s="1">
        <v>11</v>
      </c>
      <c r="AA795" s="1">
        <v>20</v>
      </c>
      <c r="AB795" s="1">
        <v>9</v>
      </c>
      <c r="AC795" s="1">
        <v>30</v>
      </c>
    </row>
    <row r="796" spans="15:29" outlineLevel="1" x14ac:dyDescent="0.45">
      <c r="O796" s="2" t="s">
        <v>54</v>
      </c>
      <c r="P796" s="2">
        <v>1</v>
      </c>
      <c r="Q796" s="2">
        <v>1</v>
      </c>
      <c r="R796" s="2">
        <v>1</v>
      </c>
      <c r="S796" s="2">
        <v>1</v>
      </c>
      <c r="T796" s="2">
        <v>4</v>
      </c>
      <c r="U796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10</v>
      </c>
      <c r="V796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23</v>
      </c>
      <c r="W796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6</v>
      </c>
      <c r="X796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35</v>
      </c>
      <c r="Y796" s="2">
        <f>SUM(ARWU_RV1000[[#This Row],[THE_RV1000]:[Webometrics_RV1000]])</f>
        <v>74</v>
      </c>
      <c r="Z796" s="2">
        <v>10</v>
      </c>
      <c r="AA796" s="2">
        <v>23</v>
      </c>
      <c r="AB796" s="2">
        <v>6</v>
      </c>
      <c r="AC796" s="2">
        <v>35</v>
      </c>
    </row>
    <row r="797" spans="15:29" outlineLevel="1" x14ac:dyDescent="0.45">
      <c r="O797" s="1" t="s">
        <v>31</v>
      </c>
      <c r="P797" s="1">
        <v>1</v>
      </c>
      <c r="Q797" s="1">
        <v>1</v>
      </c>
      <c r="R797" s="1">
        <v>1</v>
      </c>
      <c r="S797" s="1">
        <v>1</v>
      </c>
      <c r="T797" s="1">
        <v>4</v>
      </c>
      <c r="U797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6</v>
      </c>
      <c r="V797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9</v>
      </c>
      <c r="W797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6</v>
      </c>
      <c r="X797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59</v>
      </c>
      <c r="Y797" s="2">
        <f>SUM(ARWU_RV1000[[#This Row],[THE_RV1000]:[Webometrics_RV1000]])</f>
        <v>80</v>
      </c>
      <c r="Z797" s="1">
        <v>6</v>
      </c>
      <c r="AA797" s="1">
        <v>9</v>
      </c>
      <c r="AB797" s="1">
        <v>6</v>
      </c>
      <c r="AC797" s="1">
        <v>59</v>
      </c>
    </row>
    <row r="798" spans="15:29" outlineLevel="1" x14ac:dyDescent="0.45">
      <c r="O798" s="2" t="s">
        <v>89</v>
      </c>
      <c r="P798" s="2">
        <v>1</v>
      </c>
      <c r="Q798" s="2">
        <v>1</v>
      </c>
      <c r="R798" s="2">
        <v>1</v>
      </c>
      <c r="S798" s="2">
        <v>1</v>
      </c>
      <c r="T798" s="2">
        <v>4</v>
      </c>
      <c r="U798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16</v>
      </c>
      <c r="V798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26</v>
      </c>
      <c r="W798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14</v>
      </c>
      <c r="X798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24</v>
      </c>
      <c r="Y798" s="2">
        <f>SUM(ARWU_RV1000[[#This Row],[THE_RV1000]:[Webometrics_RV1000]])</f>
        <v>80</v>
      </c>
      <c r="Z798" s="2">
        <v>16</v>
      </c>
      <c r="AA798" s="2">
        <v>26</v>
      </c>
      <c r="AB798" s="2">
        <v>14</v>
      </c>
      <c r="AC798" s="2">
        <v>24</v>
      </c>
    </row>
    <row r="799" spans="15:29" outlineLevel="1" x14ac:dyDescent="0.45">
      <c r="O799" s="1" t="s">
        <v>133</v>
      </c>
      <c r="P799" s="1">
        <v>1</v>
      </c>
      <c r="Q799" s="1">
        <v>1</v>
      </c>
      <c r="R799" s="1">
        <v>1</v>
      </c>
      <c r="S799" s="1">
        <v>1</v>
      </c>
      <c r="T799" s="1">
        <v>4</v>
      </c>
      <c r="U799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23</v>
      </c>
      <c r="V799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28</v>
      </c>
      <c r="W799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25</v>
      </c>
      <c r="X799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6</v>
      </c>
      <c r="Y799" s="2">
        <f>SUM(ARWU_RV1000[[#This Row],[THE_RV1000]:[Webometrics_RV1000]])</f>
        <v>82</v>
      </c>
      <c r="Z799" s="1">
        <v>23</v>
      </c>
      <c r="AA799" s="1">
        <v>28</v>
      </c>
      <c r="AB799" s="1">
        <v>25</v>
      </c>
      <c r="AC799" s="1">
        <v>6</v>
      </c>
    </row>
    <row r="800" spans="15:29" outlineLevel="1" x14ac:dyDescent="0.45">
      <c r="O800" s="2" t="s">
        <v>102</v>
      </c>
      <c r="P800" s="2">
        <v>1</v>
      </c>
      <c r="Q800" s="2">
        <v>1</v>
      </c>
      <c r="R800" s="2">
        <v>1</v>
      </c>
      <c r="S800" s="2">
        <v>1</v>
      </c>
      <c r="T800" s="2">
        <v>4</v>
      </c>
      <c r="U800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18</v>
      </c>
      <c r="V800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22</v>
      </c>
      <c r="W800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34</v>
      </c>
      <c r="X800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16</v>
      </c>
      <c r="Y800" s="2">
        <f>SUM(ARWU_RV1000[[#This Row],[THE_RV1000]:[Webometrics_RV1000]])</f>
        <v>90</v>
      </c>
      <c r="Z800" s="2">
        <v>18</v>
      </c>
      <c r="AA800" s="2">
        <v>22</v>
      </c>
      <c r="AB800" s="2">
        <v>34</v>
      </c>
      <c r="AC800" s="2">
        <v>16</v>
      </c>
    </row>
    <row r="801" spans="15:29" outlineLevel="1" x14ac:dyDescent="0.45">
      <c r="O801" s="1" t="s">
        <v>795</v>
      </c>
      <c r="P801" s="1">
        <v>1</v>
      </c>
      <c r="Q801" s="1">
        <v>1</v>
      </c>
      <c r="R801" s="1">
        <v>1</v>
      </c>
      <c r="S801" s="1">
        <v>1</v>
      </c>
      <c r="T801" s="1">
        <v>4</v>
      </c>
      <c r="U801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21</v>
      </c>
      <c r="V801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13</v>
      </c>
      <c r="W801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44</v>
      </c>
      <c r="X801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13</v>
      </c>
      <c r="Y801" s="2">
        <f>SUM(ARWU_RV1000[[#This Row],[THE_RV1000]:[Webometrics_RV1000]])</f>
        <v>91</v>
      </c>
      <c r="Z801" s="1">
        <v>21</v>
      </c>
      <c r="AA801" s="1">
        <v>13</v>
      </c>
      <c r="AB801" s="1">
        <v>44</v>
      </c>
      <c r="AC801" s="1">
        <v>13</v>
      </c>
    </row>
    <row r="802" spans="15:29" outlineLevel="1" x14ac:dyDescent="0.45">
      <c r="O802" s="2" t="s">
        <v>97</v>
      </c>
      <c r="P802" s="2">
        <v>1</v>
      </c>
      <c r="Q802" s="2">
        <v>1</v>
      </c>
      <c r="R802" s="2">
        <v>1</v>
      </c>
      <c r="S802" s="2">
        <v>1</v>
      </c>
      <c r="T802" s="2">
        <v>4</v>
      </c>
      <c r="U802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17</v>
      </c>
      <c r="V802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34</v>
      </c>
      <c r="W802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12</v>
      </c>
      <c r="X802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32</v>
      </c>
      <c r="Y802" s="2">
        <f>SUM(ARWU_RV1000[[#This Row],[THE_RV1000]:[Webometrics_RV1000]])</f>
        <v>95</v>
      </c>
      <c r="Z802" s="2">
        <v>17</v>
      </c>
      <c r="AA802" s="2">
        <v>34</v>
      </c>
      <c r="AB802" s="2">
        <v>12</v>
      </c>
      <c r="AC802" s="2">
        <v>32</v>
      </c>
    </row>
    <row r="803" spans="15:29" outlineLevel="1" x14ac:dyDescent="0.45">
      <c r="O803" s="1" t="s">
        <v>151</v>
      </c>
      <c r="P803" s="1">
        <v>1</v>
      </c>
      <c r="Q803" s="1">
        <v>1</v>
      </c>
      <c r="R803" s="1">
        <v>1</v>
      </c>
      <c r="S803" s="1">
        <v>1</v>
      </c>
      <c r="T803" s="1">
        <v>4</v>
      </c>
      <c r="U803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26</v>
      </c>
      <c r="V803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30</v>
      </c>
      <c r="W803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32</v>
      </c>
      <c r="X803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22</v>
      </c>
      <c r="Y803" s="2">
        <f>SUM(ARWU_RV1000[[#This Row],[THE_RV1000]:[Webometrics_RV1000]])</f>
        <v>110</v>
      </c>
      <c r="Z803" s="1">
        <v>26</v>
      </c>
      <c r="AA803" s="1">
        <v>30</v>
      </c>
      <c r="AB803" s="1">
        <v>32</v>
      </c>
      <c r="AC803" s="1">
        <v>22</v>
      </c>
    </row>
    <row r="804" spans="15:29" outlineLevel="1" x14ac:dyDescent="0.45">
      <c r="O804" s="2" t="s">
        <v>139</v>
      </c>
      <c r="P804" s="2">
        <v>1</v>
      </c>
      <c r="Q804" s="2">
        <v>1</v>
      </c>
      <c r="R804" s="2">
        <v>1</v>
      </c>
      <c r="S804" s="2">
        <v>1</v>
      </c>
      <c r="T804" s="2">
        <v>4</v>
      </c>
      <c r="U804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24</v>
      </c>
      <c r="V804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25</v>
      </c>
      <c r="W804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39</v>
      </c>
      <c r="X804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23</v>
      </c>
      <c r="Y804" s="2">
        <f>SUM(ARWU_RV1000[[#This Row],[THE_RV1000]:[Webometrics_RV1000]])</f>
        <v>111</v>
      </c>
      <c r="Z804" s="2">
        <v>24</v>
      </c>
      <c r="AA804" s="2">
        <v>25</v>
      </c>
      <c r="AB804" s="2">
        <v>39</v>
      </c>
      <c r="AC804" s="2">
        <v>23</v>
      </c>
    </row>
    <row r="805" spans="15:29" outlineLevel="1" x14ac:dyDescent="0.45">
      <c r="O805" s="1" t="s">
        <v>797</v>
      </c>
      <c r="P805" s="1">
        <v>1</v>
      </c>
      <c r="Q805" s="1">
        <v>1</v>
      </c>
      <c r="R805" s="1">
        <v>1</v>
      </c>
      <c r="S805" s="1">
        <v>1</v>
      </c>
      <c r="T805" s="1">
        <v>4</v>
      </c>
      <c r="U805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32</v>
      </c>
      <c r="V805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21</v>
      </c>
      <c r="W805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53</v>
      </c>
      <c r="X805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17</v>
      </c>
      <c r="Y805" s="2">
        <f>SUM(ARWU_RV1000[[#This Row],[THE_RV1000]:[Webometrics_RV1000]])</f>
        <v>123</v>
      </c>
      <c r="Z805" s="1">
        <v>32</v>
      </c>
      <c r="AA805" s="1">
        <v>21</v>
      </c>
      <c r="AB805" s="1">
        <v>53</v>
      </c>
      <c r="AC805" s="1">
        <v>17</v>
      </c>
    </row>
    <row r="806" spans="15:29" outlineLevel="1" x14ac:dyDescent="0.45">
      <c r="O806" s="2" t="s">
        <v>169</v>
      </c>
      <c r="P806" s="2">
        <v>1</v>
      </c>
      <c r="Q806" s="2">
        <v>1</v>
      </c>
      <c r="R806" s="2">
        <v>1</v>
      </c>
      <c r="S806" s="2">
        <v>1</v>
      </c>
      <c r="T806" s="2">
        <v>4</v>
      </c>
      <c r="U806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29</v>
      </c>
      <c r="V806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35</v>
      </c>
      <c r="W806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15</v>
      </c>
      <c r="X806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44</v>
      </c>
      <c r="Y806" s="2">
        <f>SUM(ARWU_RV1000[[#This Row],[THE_RV1000]:[Webometrics_RV1000]])</f>
        <v>123</v>
      </c>
      <c r="Z806" s="2">
        <v>29</v>
      </c>
      <c r="AA806" s="2">
        <v>35</v>
      </c>
      <c r="AB806" s="2">
        <v>15</v>
      </c>
      <c r="AC806" s="2">
        <v>44</v>
      </c>
    </row>
    <row r="807" spans="15:29" outlineLevel="1" x14ac:dyDescent="0.45">
      <c r="O807" s="1" t="s">
        <v>145</v>
      </c>
      <c r="P807" s="1">
        <v>1</v>
      </c>
      <c r="Q807" s="1">
        <v>1</v>
      </c>
      <c r="R807" s="1">
        <v>1</v>
      </c>
      <c r="S807" s="1">
        <v>1</v>
      </c>
      <c r="T807" s="1">
        <v>4</v>
      </c>
      <c r="U807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25</v>
      </c>
      <c r="V807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31</v>
      </c>
      <c r="W807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50</v>
      </c>
      <c r="X807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21</v>
      </c>
      <c r="Y807" s="2">
        <f>SUM(ARWU_RV1000[[#This Row],[THE_RV1000]:[Webometrics_RV1000]])</f>
        <v>127</v>
      </c>
      <c r="Z807" s="1">
        <v>25</v>
      </c>
      <c r="AA807" s="1">
        <v>31</v>
      </c>
      <c r="AB807" s="1">
        <v>50</v>
      </c>
      <c r="AC807" s="1">
        <v>21</v>
      </c>
    </row>
    <row r="808" spans="15:29" outlineLevel="1" x14ac:dyDescent="0.45">
      <c r="O808" s="2" t="s">
        <v>157</v>
      </c>
      <c r="P808" s="2">
        <v>1</v>
      </c>
      <c r="Q808" s="2">
        <v>1</v>
      </c>
      <c r="R808" s="2">
        <v>1</v>
      </c>
      <c r="S808" s="2">
        <v>1</v>
      </c>
      <c r="T808" s="2">
        <v>4</v>
      </c>
      <c r="U808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26</v>
      </c>
      <c r="V808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17</v>
      </c>
      <c r="W808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80</v>
      </c>
      <c r="X808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7</v>
      </c>
      <c r="Y808" s="2">
        <f>SUM(ARWU_RV1000[[#This Row],[THE_RV1000]:[Webometrics_RV1000]])</f>
        <v>130</v>
      </c>
      <c r="Z808" s="2">
        <v>26</v>
      </c>
      <c r="AA808" s="2">
        <v>17</v>
      </c>
      <c r="AB808" s="2">
        <v>80</v>
      </c>
      <c r="AC808" s="2">
        <v>7</v>
      </c>
    </row>
    <row r="809" spans="15:29" outlineLevel="1" x14ac:dyDescent="0.45">
      <c r="O809" s="1" t="s">
        <v>194</v>
      </c>
      <c r="P809" s="1">
        <v>1</v>
      </c>
      <c r="Q809" s="1">
        <v>1</v>
      </c>
      <c r="R809" s="1">
        <v>1</v>
      </c>
      <c r="S809" s="1">
        <v>1</v>
      </c>
      <c r="T809" s="1">
        <v>4</v>
      </c>
      <c r="U809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34</v>
      </c>
      <c r="V809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32</v>
      </c>
      <c r="W809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33</v>
      </c>
      <c r="X809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40</v>
      </c>
      <c r="Y809" s="2">
        <f>SUM(ARWU_RV1000[[#This Row],[THE_RV1000]:[Webometrics_RV1000]])</f>
        <v>139</v>
      </c>
      <c r="Z809" s="1">
        <v>34</v>
      </c>
      <c r="AA809" s="1">
        <v>32</v>
      </c>
      <c r="AB809" s="1">
        <v>33</v>
      </c>
      <c r="AC809" s="1">
        <v>40</v>
      </c>
    </row>
    <row r="810" spans="15:29" outlineLevel="1" x14ac:dyDescent="0.45">
      <c r="O810" s="2" t="s">
        <v>110</v>
      </c>
      <c r="P810" s="2">
        <v>1</v>
      </c>
      <c r="Q810" s="2">
        <v>1</v>
      </c>
      <c r="R810" s="2">
        <v>1</v>
      </c>
      <c r="S810" s="2">
        <v>1</v>
      </c>
      <c r="T810" s="2">
        <v>4</v>
      </c>
      <c r="U810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19</v>
      </c>
      <c r="V810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71</v>
      </c>
      <c r="W810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11</v>
      </c>
      <c r="X810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47</v>
      </c>
      <c r="Y810" s="2">
        <f>SUM(ARWU_RV1000[[#This Row],[THE_RV1000]:[Webometrics_RV1000]])</f>
        <v>148</v>
      </c>
      <c r="Z810" s="2">
        <v>19</v>
      </c>
      <c r="AA810" s="2">
        <v>71</v>
      </c>
      <c r="AB810" s="2">
        <v>11</v>
      </c>
      <c r="AC810" s="2">
        <v>47</v>
      </c>
    </row>
    <row r="811" spans="15:29" outlineLevel="1" x14ac:dyDescent="0.45">
      <c r="O811" s="1" t="s">
        <v>854</v>
      </c>
      <c r="P811" s="1">
        <v>1</v>
      </c>
      <c r="Q811" s="1">
        <v>1</v>
      </c>
      <c r="R811" s="1">
        <v>1</v>
      </c>
      <c r="S811" s="1">
        <v>1</v>
      </c>
      <c r="T811" s="1">
        <v>4</v>
      </c>
      <c r="U811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39</v>
      </c>
      <c r="V811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24</v>
      </c>
      <c r="W811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23</v>
      </c>
      <c r="X811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66</v>
      </c>
      <c r="Y811" s="2">
        <f>SUM(ARWU_RV1000[[#This Row],[THE_RV1000]:[Webometrics_RV1000]])</f>
        <v>152</v>
      </c>
      <c r="Z811" s="1">
        <v>39</v>
      </c>
      <c r="AA811" s="1">
        <v>24</v>
      </c>
      <c r="AB811" s="1">
        <v>23</v>
      </c>
      <c r="AC811" s="1">
        <v>66</v>
      </c>
    </row>
    <row r="812" spans="15:29" outlineLevel="1" x14ac:dyDescent="0.45">
      <c r="O812" s="2" t="s">
        <v>225</v>
      </c>
      <c r="P812" s="2">
        <v>1</v>
      </c>
      <c r="Q812" s="2">
        <v>1</v>
      </c>
      <c r="R812" s="2">
        <v>1</v>
      </c>
      <c r="S812" s="2">
        <v>1</v>
      </c>
      <c r="T812" s="2">
        <v>4</v>
      </c>
      <c r="U812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40</v>
      </c>
      <c r="V812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44</v>
      </c>
      <c r="W812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47</v>
      </c>
      <c r="X812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27</v>
      </c>
      <c r="Y812" s="2">
        <f>SUM(ARWU_RV1000[[#This Row],[THE_RV1000]:[Webometrics_RV1000]])</f>
        <v>158</v>
      </c>
      <c r="Z812" s="2">
        <v>40</v>
      </c>
      <c r="AA812" s="2">
        <v>44</v>
      </c>
      <c r="AB812" s="2">
        <v>47</v>
      </c>
      <c r="AC812" s="2">
        <v>27</v>
      </c>
    </row>
    <row r="813" spans="15:29" outlineLevel="1" x14ac:dyDescent="0.45">
      <c r="O813" s="1" t="s">
        <v>296</v>
      </c>
      <c r="P813" s="1">
        <v>1</v>
      </c>
      <c r="Q813" s="1">
        <v>1</v>
      </c>
      <c r="R813" s="1">
        <v>1</v>
      </c>
      <c r="S813" s="1">
        <v>1</v>
      </c>
      <c r="T813" s="1">
        <v>4</v>
      </c>
      <c r="U813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54</v>
      </c>
      <c r="V813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38</v>
      </c>
      <c r="W813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28</v>
      </c>
      <c r="X813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61</v>
      </c>
      <c r="Y813" s="2">
        <f>SUM(ARWU_RV1000[[#This Row],[THE_RV1000]:[Webometrics_RV1000]])</f>
        <v>181</v>
      </c>
      <c r="Z813" s="1">
        <v>54</v>
      </c>
      <c r="AA813" s="1">
        <v>38</v>
      </c>
      <c r="AB813" s="1">
        <v>28</v>
      </c>
      <c r="AC813" s="1">
        <v>61</v>
      </c>
    </row>
    <row r="814" spans="15:29" outlineLevel="1" x14ac:dyDescent="0.45">
      <c r="O814" s="2" t="s">
        <v>276</v>
      </c>
      <c r="P814" s="2">
        <v>1</v>
      </c>
      <c r="Q814" s="2">
        <v>1</v>
      </c>
      <c r="R814" s="2">
        <v>1</v>
      </c>
      <c r="S814" s="2">
        <v>1</v>
      </c>
      <c r="T814" s="2">
        <v>4</v>
      </c>
      <c r="U814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50</v>
      </c>
      <c r="V814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37</v>
      </c>
      <c r="W814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72</v>
      </c>
      <c r="X814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25</v>
      </c>
      <c r="Y814" s="2">
        <f>SUM(ARWU_RV1000[[#This Row],[THE_RV1000]:[Webometrics_RV1000]])</f>
        <v>184</v>
      </c>
      <c r="Z814" s="2">
        <v>50</v>
      </c>
      <c r="AA814" s="2">
        <v>37</v>
      </c>
      <c r="AB814" s="2">
        <v>72</v>
      </c>
      <c r="AC814" s="2">
        <v>25</v>
      </c>
    </row>
    <row r="815" spans="15:29" outlineLevel="1" x14ac:dyDescent="0.45">
      <c r="O815" s="1" t="s">
        <v>199</v>
      </c>
      <c r="P815" s="1">
        <v>1</v>
      </c>
      <c r="Q815" s="1">
        <v>1</v>
      </c>
      <c r="R815" s="1">
        <v>1</v>
      </c>
      <c r="S815" s="1">
        <v>1</v>
      </c>
      <c r="T815" s="1">
        <v>4</v>
      </c>
      <c r="U815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35</v>
      </c>
      <c r="V815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48</v>
      </c>
      <c r="W815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37</v>
      </c>
      <c r="X815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67</v>
      </c>
      <c r="Y815" s="2">
        <f>SUM(ARWU_RV1000[[#This Row],[THE_RV1000]:[Webometrics_RV1000]])</f>
        <v>187</v>
      </c>
      <c r="Z815" s="1">
        <v>35</v>
      </c>
      <c r="AA815" s="1">
        <v>48</v>
      </c>
      <c r="AB815" s="1">
        <v>37</v>
      </c>
      <c r="AC815" s="1">
        <v>67</v>
      </c>
    </row>
    <row r="816" spans="15:29" outlineLevel="1" x14ac:dyDescent="0.45">
      <c r="O816" s="2" t="s">
        <v>816</v>
      </c>
      <c r="P816" s="2">
        <v>1</v>
      </c>
      <c r="Q816" s="2">
        <v>1</v>
      </c>
      <c r="R816" s="2">
        <v>1</v>
      </c>
      <c r="S816" s="2">
        <v>1</v>
      </c>
      <c r="T816" s="2">
        <v>4</v>
      </c>
      <c r="U816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53</v>
      </c>
      <c r="V816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47</v>
      </c>
      <c r="W816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50</v>
      </c>
      <c r="X816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52</v>
      </c>
      <c r="Y816" s="2">
        <f>SUM(ARWU_RV1000[[#This Row],[THE_RV1000]:[Webometrics_RV1000]])</f>
        <v>202</v>
      </c>
      <c r="Z816" s="2">
        <v>53</v>
      </c>
      <c r="AA816" s="2">
        <v>47</v>
      </c>
      <c r="AB816" s="2">
        <v>50</v>
      </c>
      <c r="AC816" s="2">
        <v>52</v>
      </c>
    </row>
    <row r="817" spans="15:29" outlineLevel="1" x14ac:dyDescent="0.45">
      <c r="O817" s="1" t="s">
        <v>572</v>
      </c>
      <c r="P817" s="1">
        <v>1</v>
      </c>
      <c r="Q817" s="1">
        <v>1</v>
      </c>
      <c r="R817" s="1">
        <v>1</v>
      </c>
      <c r="S817" s="1">
        <v>1</v>
      </c>
      <c r="T817" s="1">
        <v>4</v>
      </c>
      <c r="U817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54</v>
      </c>
      <c r="V817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60</v>
      </c>
      <c r="W817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41</v>
      </c>
      <c r="X817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50</v>
      </c>
      <c r="Y817" s="2">
        <f>SUM(ARWU_RV1000[[#This Row],[THE_RV1000]:[Webometrics_RV1000]])</f>
        <v>205</v>
      </c>
      <c r="Z817" s="1">
        <v>54</v>
      </c>
      <c r="AA817" s="1">
        <v>60</v>
      </c>
      <c r="AB817" s="1">
        <v>41</v>
      </c>
      <c r="AC817" s="1">
        <v>50</v>
      </c>
    </row>
    <row r="818" spans="15:29" outlineLevel="1" x14ac:dyDescent="0.45">
      <c r="O818" s="2" t="s">
        <v>253</v>
      </c>
      <c r="P818" s="2">
        <v>1</v>
      </c>
      <c r="Q818" s="2">
        <v>1</v>
      </c>
      <c r="R818" s="2">
        <v>1</v>
      </c>
      <c r="S818" s="2">
        <v>1</v>
      </c>
      <c r="T818" s="2">
        <v>4</v>
      </c>
      <c r="U818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46</v>
      </c>
      <c r="V818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73</v>
      </c>
      <c r="W818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31</v>
      </c>
      <c r="X818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60</v>
      </c>
      <c r="Y818" s="2">
        <f>SUM(ARWU_RV1000[[#This Row],[THE_RV1000]:[Webometrics_RV1000]])</f>
        <v>210</v>
      </c>
      <c r="Z818" s="2">
        <v>46</v>
      </c>
      <c r="AA818" s="2">
        <v>73</v>
      </c>
      <c r="AB818" s="2">
        <v>31</v>
      </c>
      <c r="AC818" s="2">
        <v>60</v>
      </c>
    </row>
    <row r="819" spans="15:29" outlineLevel="1" x14ac:dyDescent="0.45">
      <c r="O819" s="1" t="s">
        <v>355</v>
      </c>
      <c r="P819" s="1">
        <v>1</v>
      </c>
      <c r="Q819" s="1">
        <v>1</v>
      </c>
      <c r="R819" s="1">
        <v>1</v>
      </c>
      <c r="S819" s="1">
        <v>1</v>
      </c>
      <c r="T819" s="1">
        <v>4</v>
      </c>
      <c r="U819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67</v>
      </c>
      <c r="V819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36</v>
      </c>
      <c r="W819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42</v>
      </c>
      <c r="X819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68</v>
      </c>
      <c r="Y819" s="2">
        <f>SUM(ARWU_RV1000[[#This Row],[THE_RV1000]:[Webometrics_RV1000]])</f>
        <v>213</v>
      </c>
      <c r="Z819" s="1">
        <v>67</v>
      </c>
      <c r="AA819" s="1">
        <v>36</v>
      </c>
      <c r="AB819" s="1">
        <v>42</v>
      </c>
      <c r="AC819" s="1">
        <v>68</v>
      </c>
    </row>
    <row r="820" spans="15:29" outlineLevel="1" x14ac:dyDescent="0.45">
      <c r="O820" s="2" t="s">
        <v>266</v>
      </c>
      <c r="P820" s="2">
        <v>1</v>
      </c>
      <c r="Q820" s="2">
        <v>1</v>
      </c>
      <c r="R820" s="2">
        <v>1</v>
      </c>
      <c r="S820" s="2">
        <v>1</v>
      </c>
      <c r="T820" s="2">
        <v>4</v>
      </c>
      <c r="U820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48</v>
      </c>
      <c r="V820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49</v>
      </c>
      <c r="W820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85</v>
      </c>
      <c r="X820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33</v>
      </c>
      <c r="Y820" s="2">
        <f>SUM(ARWU_RV1000[[#This Row],[THE_RV1000]:[Webometrics_RV1000]])</f>
        <v>215</v>
      </c>
      <c r="Z820" s="2">
        <v>48</v>
      </c>
      <c r="AA820" s="2">
        <v>49</v>
      </c>
      <c r="AB820" s="2">
        <v>85</v>
      </c>
      <c r="AC820" s="2">
        <v>33</v>
      </c>
    </row>
    <row r="821" spans="15:29" outlineLevel="1" x14ac:dyDescent="0.45">
      <c r="O821" s="1" t="s">
        <v>412</v>
      </c>
      <c r="P821" s="1">
        <v>1</v>
      </c>
      <c r="Q821" s="1">
        <v>1</v>
      </c>
      <c r="R821" s="1">
        <v>1</v>
      </c>
      <c r="S821" s="1">
        <v>1</v>
      </c>
      <c r="T821" s="1">
        <v>4</v>
      </c>
      <c r="U821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81</v>
      </c>
      <c r="V821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33</v>
      </c>
      <c r="W821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83</v>
      </c>
      <c r="X821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20</v>
      </c>
      <c r="Y821" s="2">
        <f>SUM(ARWU_RV1000[[#This Row],[THE_RV1000]:[Webometrics_RV1000]])</f>
        <v>217</v>
      </c>
      <c r="Z821" s="1">
        <v>81</v>
      </c>
      <c r="AA821" s="1">
        <v>33</v>
      </c>
      <c r="AB821" s="1">
        <v>83</v>
      </c>
      <c r="AC821" s="1">
        <v>20</v>
      </c>
    </row>
    <row r="822" spans="15:29" outlineLevel="1" x14ac:dyDescent="0.45">
      <c r="O822" s="2" t="s">
        <v>286</v>
      </c>
      <c r="P822" s="2">
        <v>1</v>
      </c>
      <c r="Q822" s="2">
        <v>1</v>
      </c>
      <c r="R822" s="2">
        <v>1</v>
      </c>
      <c r="S822" s="2">
        <v>1</v>
      </c>
      <c r="T822" s="2">
        <v>4</v>
      </c>
      <c r="U822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52</v>
      </c>
      <c r="V822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54</v>
      </c>
      <c r="W822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46</v>
      </c>
      <c r="X822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69</v>
      </c>
      <c r="Y822" s="2">
        <f>SUM(ARWU_RV1000[[#This Row],[THE_RV1000]:[Webometrics_RV1000]])</f>
        <v>221</v>
      </c>
      <c r="Z822" s="2">
        <v>52</v>
      </c>
      <c r="AA822" s="2">
        <v>54</v>
      </c>
      <c r="AB822" s="2">
        <v>46</v>
      </c>
      <c r="AC822" s="2">
        <v>69</v>
      </c>
    </row>
    <row r="823" spans="15:29" outlineLevel="1" x14ac:dyDescent="0.45">
      <c r="O823" s="1" t="s">
        <v>810</v>
      </c>
      <c r="P823" s="1">
        <v>1</v>
      </c>
      <c r="Q823" s="1">
        <v>1</v>
      </c>
      <c r="R823" s="1">
        <v>1</v>
      </c>
      <c r="S823" s="1">
        <v>1</v>
      </c>
      <c r="T823" s="1">
        <v>4</v>
      </c>
      <c r="U823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71</v>
      </c>
      <c r="V823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64</v>
      </c>
      <c r="W823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45</v>
      </c>
      <c r="X823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41</v>
      </c>
      <c r="Y823" s="2">
        <f>SUM(ARWU_RV1000[[#This Row],[THE_RV1000]:[Webometrics_RV1000]])</f>
        <v>221</v>
      </c>
      <c r="Z823" s="1">
        <v>71</v>
      </c>
      <c r="AA823" s="1">
        <v>64</v>
      </c>
      <c r="AB823" s="1">
        <v>45</v>
      </c>
      <c r="AC823" s="1">
        <v>41</v>
      </c>
    </row>
    <row r="824" spans="15:29" outlineLevel="1" x14ac:dyDescent="0.45">
      <c r="O824" s="2" t="s">
        <v>179</v>
      </c>
      <c r="P824" s="2">
        <v>1</v>
      </c>
      <c r="Q824" s="2">
        <v>1</v>
      </c>
      <c r="R824" s="2">
        <v>1</v>
      </c>
      <c r="S824" s="2">
        <v>1</v>
      </c>
      <c r="T824" s="2">
        <v>4</v>
      </c>
      <c r="U824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31</v>
      </c>
      <c r="V824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96</v>
      </c>
      <c r="W824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21</v>
      </c>
      <c r="X824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75</v>
      </c>
      <c r="Y824" s="2">
        <f>SUM(ARWU_RV1000[[#This Row],[THE_RV1000]:[Webometrics_RV1000]])</f>
        <v>223</v>
      </c>
      <c r="Z824" s="2">
        <v>31</v>
      </c>
      <c r="AA824" s="2">
        <v>96</v>
      </c>
      <c r="AB824" s="2">
        <v>21</v>
      </c>
      <c r="AC824" s="2">
        <v>75</v>
      </c>
    </row>
    <row r="825" spans="15:29" outlineLevel="1" x14ac:dyDescent="0.45">
      <c r="O825" s="1" t="s">
        <v>614</v>
      </c>
      <c r="P825" s="1">
        <v>1</v>
      </c>
      <c r="Q825" s="1">
        <v>1</v>
      </c>
      <c r="R825" s="1">
        <v>1</v>
      </c>
      <c r="S825" s="1">
        <v>1</v>
      </c>
      <c r="T825" s="1">
        <v>4</v>
      </c>
      <c r="U825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36</v>
      </c>
      <c r="V825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88</v>
      </c>
      <c r="W825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19</v>
      </c>
      <c r="X825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87</v>
      </c>
      <c r="Y825" s="2">
        <f>SUM(ARWU_RV1000[[#This Row],[THE_RV1000]:[Webometrics_RV1000]])</f>
        <v>230</v>
      </c>
      <c r="Z825" s="1">
        <v>36</v>
      </c>
      <c r="AA825" s="1">
        <v>88</v>
      </c>
      <c r="AB825" s="1">
        <v>19</v>
      </c>
      <c r="AC825" s="1">
        <v>87</v>
      </c>
    </row>
    <row r="826" spans="15:29" outlineLevel="1" x14ac:dyDescent="0.45">
      <c r="O826" s="2" t="s">
        <v>245</v>
      </c>
      <c r="P826" s="2">
        <v>1</v>
      </c>
      <c r="Q826" s="2">
        <v>1</v>
      </c>
      <c r="R826" s="2">
        <v>1</v>
      </c>
      <c r="S826" s="2">
        <v>1</v>
      </c>
      <c r="T826" s="2">
        <v>4</v>
      </c>
      <c r="U826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44</v>
      </c>
      <c r="V826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75</v>
      </c>
      <c r="W826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57</v>
      </c>
      <c r="X826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57</v>
      </c>
      <c r="Y826" s="2">
        <f>SUM(ARWU_RV1000[[#This Row],[THE_RV1000]:[Webometrics_RV1000]])</f>
        <v>233</v>
      </c>
      <c r="Z826" s="2">
        <v>44</v>
      </c>
      <c r="AA826" s="2">
        <v>75</v>
      </c>
      <c r="AB826" s="2">
        <v>57</v>
      </c>
      <c r="AC826" s="2">
        <v>57</v>
      </c>
    </row>
    <row r="827" spans="15:29" outlineLevel="1" x14ac:dyDescent="0.45">
      <c r="O827" s="1" t="s">
        <v>337</v>
      </c>
      <c r="P827" s="1">
        <v>1</v>
      </c>
      <c r="Q827" s="1">
        <v>1</v>
      </c>
      <c r="R827" s="1">
        <v>1</v>
      </c>
      <c r="S827" s="1">
        <v>1</v>
      </c>
      <c r="T827" s="1">
        <v>4</v>
      </c>
      <c r="U827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62</v>
      </c>
      <c r="V827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79</v>
      </c>
      <c r="W827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30</v>
      </c>
      <c r="X827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79</v>
      </c>
      <c r="Y827" s="2">
        <f>SUM(ARWU_RV1000[[#This Row],[THE_RV1000]:[Webometrics_RV1000]])</f>
        <v>250</v>
      </c>
      <c r="Z827" s="1">
        <v>62</v>
      </c>
      <c r="AA827" s="1">
        <v>79</v>
      </c>
      <c r="AB827" s="1">
        <v>30</v>
      </c>
      <c r="AC827" s="1">
        <v>79</v>
      </c>
    </row>
    <row r="828" spans="15:29" outlineLevel="1" x14ac:dyDescent="0.45">
      <c r="O828" s="2" t="s">
        <v>306</v>
      </c>
      <c r="P828" s="2">
        <v>1</v>
      </c>
      <c r="Q828" s="2">
        <v>1</v>
      </c>
      <c r="R828" s="2">
        <v>1</v>
      </c>
      <c r="S828" s="2">
        <v>1</v>
      </c>
      <c r="T828" s="2">
        <v>4</v>
      </c>
      <c r="U828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56</v>
      </c>
      <c r="V828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98</v>
      </c>
      <c r="W828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29</v>
      </c>
      <c r="X828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96</v>
      </c>
      <c r="Y828" s="2">
        <f>SUM(ARWU_RV1000[[#This Row],[THE_RV1000]:[Webometrics_RV1000]])</f>
        <v>279</v>
      </c>
      <c r="Z828" s="2">
        <v>56</v>
      </c>
      <c r="AA828" s="2">
        <v>98</v>
      </c>
      <c r="AB828" s="2">
        <v>29</v>
      </c>
      <c r="AC828" s="2">
        <v>96</v>
      </c>
    </row>
    <row r="829" spans="15:29" outlineLevel="1" x14ac:dyDescent="0.45">
      <c r="O829" s="1" t="s">
        <v>332</v>
      </c>
      <c r="P829" s="1">
        <v>1</v>
      </c>
      <c r="Q829" s="1">
        <v>1</v>
      </c>
      <c r="R829" s="1">
        <v>1</v>
      </c>
      <c r="S829" s="1">
        <v>1</v>
      </c>
      <c r="T829" s="1">
        <v>4</v>
      </c>
      <c r="U829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61</v>
      </c>
      <c r="V829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99</v>
      </c>
      <c r="W829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63</v>
      </c>
      <c r="X829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80</v>
      </c>
      <c r="Y829" s="2">
        <f>SUM(ARWU_RV1000[[#This Row],[THE_RV1000]:[Webometrics_RV1000]])</f>
        <v>303</v>
      </c>
      <c r="Z829" s="1">
        <v>61</v>
      </c>
      <c r="AA829" s="1">
        <v>99</v>
      </c>
      <c r="AB829" s="1">
        <v>63</v>
      </c>
      <c r="AC829" s="1">
        <v>80</v>
      </c>
    </row>
    <row r="830" spans="15:29" outlineLevel="1" x14ac:dyDescent="0.45">
      <c r="O830" s="2" t="s">
        <v>425</v>
      </c>
      <c r="P830" s="2">
        <v>1</v>
      </c>
      <c r="Q830" s="2">
        <v>1</v>
      </c>
      <c r="R830" s="2">
        <v>1</v>
      </c>
      <c r="S830" s="2">
        <v>1</v>
      </c>
      <c r="T830" s="2">
        <v>4</v>
      </c>
      <c r="U830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82</v>
      </c>
      <c r="V830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59</v>
      </c>
      <c r="W830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83</v>
      </c>
      <c r="X830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92</v>
      </c>
      <c r="Y830" s="2">
        <f>SUM(ARWU_RV1000[[#This Row],[THE_RV1000]:[Webometrics_RV1000]])</f>
        <v>316</v>
      </c>
      <c r="Z830" s="2">
        <v>82</v>
      </c>
      <c r="AA830" s="2">
        <v>59</v>
      </c>
      <c r="AB830" s="2">
        <v>83</v>
      </c>
      <c r="AC830" s="2">
        <v>92</v>
      </c>
    </row>
    <row r="831" spans="15:29" outlineLevel="1" x14ac:dyDescent="0.45">
      <c r="O831" s="1" t="s">
        <v>385</v>
      </c>
      <c r="P831" s="1">
        <v>1</v>
      </c>
      <c r="Q831" s="1">
        <v>1</v>
      </c>
      <c r="R831" s="1">
        <v>1</v>
      </c>
      <c r="S831" s="1">
        <v>1</v>
      </c>
      <c r="T831" s="1">
        <v>4</v>
      </c>
      <c r="U831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74</v>
      </c>
      <c r="V831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62</v>
      </c>
      <c r="W831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94</v>
      </c>
      <c r="X831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95</v>
      </c>
      <c r="Y831" s="2">
        <f>SUM(ARWU_RV1000[[#This Row],[THE_RV1000]:[Webometrics_RV1000]])</f>
        <v>325</v>
      </c>
      <c r="Z831" s="1">
        <v>74</v>
      </c>
      <c r="AA831" s="1">
        <v>62</v>
      </c>
      <c r="AB831" s="1">
        <v>94</v>
      </c>
      <c r="AC831" s="1">
        <v>95</v>
      </c>
    </row>
    <row r="832" spans="15:29" outlineLevel="1" x14ac:dyDescent="0.45">
      <c r="O832" s="2" t="s">
        <v>663</v>
      </c>
      <c r="P832" s="2">
        <v>1</v>
      </c>
      <c r="Q832" s="2">
        <v>1</v>
      </c>
      <c r="R832" s="2">
        <v>1</v>
      </c>
      <c r="S832" s="2">
        <v>0</v>
      </c>
      <c r="T832" s="2">
        <v>3</v>
      </c>
      <c r="U832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47</v>
      </c>
      <c r="V832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40</v>
      </c>
      <c r="W832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26</v>
      </c>
      <c r="X832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250</v>
      </c>
      <c r="Y832" s="2">
        <f>SUM(ARWU_RV1000[[#This Row],[THE_RV1000]:[Webometrics_RV1000]])</f>
        <v>363</v>
      </c>
      <c r="Z832" s="2">
        <v>47</v>
      </c>
      <c r="AA832" s="2">
        <v>40</v>
      </c>
      <c r="AB832" s="2">
        <v>26</v>
      </c>
      <c r="AC832" s="2">
        <v>0</v>
      </c>
    </row>
    <row r="833" spans="15:29" outlineLevel="1" x14ac:dyDescent="0.45">
      <c r="O833" s="1" t="s">
        <v>313</v>
      </c>
      <c r="P833" s="1">
        <v>1</v>
      </c>
      <c r="Q833" s="1">
        <v>1</v>
      </c>
      <c r="R833" s="1">
        <v>0</v>
      </c>
      <c r="S833" s="1">
        <v>1</v>
      </c>
      <c r="T833" s="1">
        <v>3</v>
      </c>
      <c r="U833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57</v>
      </c>
      <c r="V833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27</v>
      </c>
      <c r="W833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250</v>
      </c>
      <c r="X833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42</v>
      </c>
      <c r="Y833" s="2">
        <f>SUM(ARWU_RV1000[[#This Row],[THE_RV1000]:[Webometrics_RV1000]])</f>
        <v>376</v>
      </c>
      <c r="Z833" s="1">
        <v>57</v>
      </c>
      <c r="AA833" s="1">
        <v>27</v>
      </c>
      <c r="AB833" s="1">
        <v>0</v>
      </c>
      <c r="AC833" s="1">
        <v>42</v>
      </c>
    </row>
    <row r="834" spans="15:29" outlineLevel="1" x14ac:dyDescent="0.45">
      <c r="O834" s="2" t="s">
        <v>366</v>
      </c>
      <c r="P834" s="2">
        <v>1</v>
      </c>
      <c r="Q834" s="2">
        <v>1</v>
      </c>
      <c r="R834" s="2">
        <v>0</v>
      </c>
      <c r="S834" s="2">
        <v>1</v>
      </c>
      <c r="T834" s="2">
        <v>3</v>
      </c>
      <c r="U834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69</v>
      </c>
      <c r="V834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29</v>
      </c>
      <c r="W834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250</v>
      </c>
      <c r="X834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28</v>
      </c>
      <c r="Y834" s="2">
        <f>SUM(ARWU_RV1000[[#This Row],[THE_RV1000]:[Webometrics_RV1000]])</f>
        <v>376</v>
      </c>
      <c r="Z834" s="2">
        <v>69</v>
      </c>
      <c r="AA834" s="2">
        <v>29</v>
      </c>
      <c r="AB834" s="2">
        <v>0</v>
      </c>
      <c r="AC834" s="2">
        <v>28</v>
      </c>
    </row>
    <row r="835" spans="15:29" outlineLevel="1" x14ac:dyDescent="0.45">
      <c r="O835" s="1" t="s">
        <v>173</v>
      </c>
      <c r="P835" s="1">
        <v>1</v>
      </c>
      <c r="Q835" s="1">
        <v>1</v>
      </c>
      <c r="R835" s="1">
        <v>1</v>
      </c>
      <c r="S835" s="1">
        <v>0</v>
      </c>
      <c r="T835" s="1">
        <v>3</v>
      </c>
      <c r="U835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30</v>
      </c>
      <c r="V835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56</v>
      </c>
      <c r="W835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49</v>
      </c>
      <c r="X835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250</v>
      </c>
      <c r="Y835" s="2">
        <f>SUM(ARWU_RV1000[[#This Row],[THE_RV1000]:[Webometrics_RV1000]])</f>
        <v>385</v>
      </c>
      <c r="Z835" s="1">
        <v>30</v>
      </c>
      <c r="AA835" s="1">
        <v>56</v>
      </c>
      <c r="AB835" s="1">
        <v>49</v>
      </c>
      <c r="AC835" s="1">
        <v>0</v>
      </c>
    </row>
    <row r="836" spans="15:29" outlineLevel="1" x14ac:dyDescent="0.45">
      <c r="O836" s="2" t="s">
        <v>360</v>
      </c>
      <c r="P836" s="2">
        <v>1</v>
      </c>
      <c r="Q836" s="2">
        <v>1</v>
      </c>
      <c r="R836" s="2">
        <v>1</v>
      </c>
      <c r="S836" s="2">
        <v>0</v>
      </c>
      <c r="T836" s="2">
        <v>3</v>
      </c>
      <c r="U836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68</v>
      </c>
      <c r="V836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41</v>
      </c>
      <c r="W836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36</v>
      </c>
      <c r="X836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250</v>
      </c>
      <c r="Y836" s="2">
        <f>SUM(ARWU_RV1000[[#This Row],[THE_RV1000]:[Webometrics_RV1000]])</f>
        <v>395</v>
      </c>
      <c r="Z836" s="2">
        <v>68</v>
      </c>
      <c r="AA836" s="2">
        <v>41</v>
      </c>
      <c r="AB836" s="2">
        <v>36</v>
      </c>
      <c r="AC836" s="2">
        <v>0</v>
      </c>
    </row>
    <row r="837" spans="15:29" outlineLevel="1" x14ac:dyDescent="0.45">
      <c r="O837" s="1" t="s">
        <v>347</v>
      </c>
      <c r="P837" s="1">
        <v>1</v>
      </c>
      <c r="Q837" s="1">
        <v>1</v>
      </c>
      <c r="R837" s="1">
        <v>0</v>
      </c>
      <c r="S837" s="1">
        <v>1</v>
      </c>
      <c r="T837" s="1">
        <v>3</v>
      </c>
      <c r="U837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65</v>
      </c>
      <c r="V837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53</v>
      </c>
      <c r="W837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250</v>
      </c>
      <c r="X837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31</v>
      </c>
      <c r="Y837" s="2">
        <f>SUM(ARWU_RV1000[[#This Row],[THE_RV1000]:[Webometrics_RV1000]])</f>
        <v>399</v>
      </c>
      <c r="Z837" s="1">
        <v>65</v>
      </c>
      <c r="AA837" s="1">
        <v>53</v>
      </c>
      <c r="AB837" s="1">
        <v>0</v>
      </c>
      <c r="AC837" s="1">
        <v>31</v>
      </c>
    </row>
    <row r="838" spans="15:29" outlineLevel="1" x14ac:dyDescent="0.45">
      <c r="O838" s="2" t="s">
        <v>282</v>
      </c>
      <c r="P838" s="2">
        <v>1</v>
      </c>
      <c r="Q838" s="2">
        <v>1</v>
      </c>
      <c r="R838" s="2">
        <v>1</v>
      </c>
      <c r="S838" s="2">
        <v>0</v>
      </c>
      <c r="T838" s="2">
        <v>3</v>
      </c>
      <c r="U838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51</v>
      </c>
      <c r="V838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67</v>
      </c>
      <c r="W838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34</v>
      </c>
      <c r="X838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250</v>
      </c>
      <c r="Y838" s="2">
        <f>SUM(ARWU_RV1000[[#This Row],[THE_RV1000]:[Webometrics_RV1000]])</f>
        <v>402</v>
      </c>
      <c r="Z838" s="2">
        <v>51</v>
      </c>
      <c r="AA838" s="2">
        <v>67</v>
      </c>
      <c r="AB838" s="2">
        <v>34</v>
      </c>
      <c r="AC838" s="2">
        <v>0</v>
      </c>
    </row>
    <row r="839" spans="15:29" outlineLevel="1" x14ac:dyDescent="0.45">
      <c r="O839" s="1" t="s">
        <v>456</v>
      </c>
      <c r="P839" s="1">
        <v>1</v>
      </c>
      <c r="Q839" s="1">
        <v>1</v>
      </c>
      <c r="R839" s="1">
        <v>1</v>
      </c>
      <c r="S839" s="1">
        <v>0</v>
      </c>
      <c r="T839" s="1">
        <v>3</v>
      </c>
      <c r="U839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93</v>
      </c>
      <c r="V839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16</v>
      </c>
      <c r="W839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69</v>
      </c>
      <c r="X839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250</v>
      </c>
      <c r="Y839" s="2">
        <f>SUM(ARWU_RV1000[[#This Row],[THE_RV1000]:[Webometrics_RV1000]])</f>
        <v>428</v>
      </c>
      <c r="Z839" s="1">
        <v>93</v>
      </c>
      <c r="AA839" s="1">
        <v>16</v>
      </c>
      <c r="AB839" s="1">
        <v>69</v>
      </c>
      <c r="AC839" s="1">
        <v>0</v>
      </c>
    </row>
    <row r="840" spans="15:29" outlineLevel="1" x14ac:dyDescent="0.45">
      <c r="O840" s="2" t="s">
        <v>352</v>
      </c>
      <c r="P840" s="2">
        <v>1</v>
      </c>
      <c r="Q840" s="2">
        <v>1</v>
      </c>
      <c r="R840" s="2">
        <v>0</v>
      </c>
      <c r="S840" s="2">
        <v>1</v>
      </c>
      <c r="T840" s="2">
        <v>3</v>
      </c>
      <c r="U840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66</v>
      </c>
      <c r="V840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54</v>
      </c>
      <c r="W840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250</v>
      </c>
      <c r="X840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65</v>
      </c>
      <c r="Y840" s="2">
        <f>SUM(ARWU_RV1000[[#This Row],[THE_RV1000]:[Webometrics_RV1000]])</f>
        <v>435</v>
      </c>
      <c r="Z840" s="2">
        <v>66</v>
      </c>
      <c r="AA840" s="2">
        <v>54</v>
      </c>
      <c r="AB840" s="2">
        <v>0</v>
      </c>
      <c r="AC840" s="2">
        <v>65</v>
      </c>
    </row>
    <row r="841" spans="15:29" outlineLevel="1" x14ac:dyDescent="0.45">
      <c r="O841" s="1" t="s">
        <v>446</v>
      </c>
      <c r="P841" s="1">
        <v>1</v>
      </c>
      <c r="Q841" s="1">
        <v>1</v>
      </c>
      <c r="R841" s="1">
        <v>1</v>
      </c>
      <c r="S841" s="1">
        <v>0</v>
      </c>
      <c r="T841" s="1">
        <v>3</v>
      </c>
      <c r="U841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90</v>
      </c>
      <c r="V841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43</v>
      </c>
      <c r="W841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60</v>
      </c>
      <c r="X841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250</v>
      </c>
      <c r="Y841" s="2">
        <f>SUM(ARWU_RV1000[[#This Row],[THE_RV1000]:[Webometrics_RV1000]])</f>
        <v>443</v>
      </c>
      <c r="Z841" s="1">
        <v>90</v>
      </c>
      <c r="AA841" s="1">
        <v>43</v>
      </c>
      <c r="AB841" s="1">
        <v>60</v>
      </c>
      <c r="AC841" s="1">
        <v>0</v>
      </c>
    </row>
    <row r="842" spans="15:29" outlineLevel="1" x14ac:dyDescent="0.45">
      <c r="O842" s="2" t="s">
        <v>808</v>
      </c>
      <c r="P842" s="2">
        <v>1</v>
      </c>
      <c r="Q842" s="2">
        <v>1</v>
      </c>
      <c r="R842" s="2">
        <v>0</v>
      </c>
      <c r="S842" s="2">
        <v>1</v>
      </c>
      <c r="T842" s="2">
        <v>3</v>
      </c>
      <c r="U842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95</v>
      </c>
      <c r="V842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61</v>
      </c>
      <c r="W842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250</v>
      </c>
      <c r="X842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38</v>
      </c>
      <c r="Y842" s="2">
        <f>SUM(ARWU_RV1000[[#This Row],[THE_RV1000]:[Webometrics_RV1000]])</f>
        <v>444</v>
      </c>
      <c r="Z842" s="2">
        <v>95</v>
      </c>
      <c r="AA842" s="2">
        <v>61</v>
      </c>
      <c r="AB842" s="2">
        <v>0</v>
      </c>
      <c r="AC842" s="2">
        <v>38</v>
      </c>
    </row>
    <row r="843" spans="15:29" outlineLevel="1" x14ac:dyDescent="0.45">
      <c r="O843" s="1" t="s">
        <v>545</v>
      </c>
      <c r="P843" s="1">
        <v>0</v>
      </c>
      <c r="Q843" s="1">
        <v>1</v>
      </c>
      <c r="R843" s="1">
        <v>1</v>
      </c>
      <c r="S843" s="1">
        <v>1</v>
      </c>
      <c r="T843" s="1">
        <v>3</v>
      </c>
      <c r="U843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250</v>
      </c>
      <c r="V843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39</v>
      </c>
      <c r="W843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82</v>
      </c>
      <c r="X843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74</v>
      </c>
      <c r="Y843" s="2">
        <f>SUM(ARWU_RV1000[[#This Row],[THE_RV1000]:[Webometrics_RV1000]])</f>
        <v>445</v>
      </c>
      <c r="Z843" s="1">
        <v>0</v>
      </c>
      <c r="AA843" s="1">
        <v>39</v>
      </c>
      <c r="AB843" s="1">
        <v>82</v>
      </c>
      <c r="AC843" s="1">
        <v>74</v>
      </c>
    </row>
    <row r="844" spans="15:29" outlineLevel="1" x14ac:dyDescent="0.45">
      <c r="O844" s="2" t="s">
        <v>829</v>
      </c>
      <c r="P844" s="2">
        <v>1</v>
      </c>
      <c r="Q844" s="2">
        <v>1</v>
      </c>
      <c r="R844" s="2">
        <v>0</v>
      </c>
      <c r="S844" s="2">
        <v>1</v>
      </c>
      <c r="T844" s="2">
        <v>3</v>
      </c>
      <c r="U844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64</v>
      </c>
      <c r="V844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57</v>
      </c>
      <c r="W844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250</v>
      </c>
      <c r="X844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76</v>
      </c>
      <c r="Y844" s="2">
        <f>SUM(ARWU_RV1000[[#This Row],[THE_RV1000]:[Webometrics_RV1000]])</f>
        <v>447</v>
      </c>
      <c r="Z844" s="2">
        <v>64</v>
      </c>
      <c r="AA844" s="2">
        <v>57</v>
      </c>
      <c r="AB844" s="2">
        <v>0</v>
      </c>
      <c r="AC844" s="2">
        <v>76</v>
      </c>
    </row>
    <row r="845" spans="15:29" outlineLevel="1" x14ac:dyDescent="0.45">
      <c r="O845" s="1" t="s">
        <v>234</v>
      </c>
      <c r="P845" s="1">
        <v>1</v>
      </c>
      <c r="Q845" s="1">
        <v>1</v>
      </c>
      <c r="R845" s="1">
        <v>1</v>
      </c>
      <c r="S845" s="1">
        <v>0</v>
      </c>
      <c r="T845" s="1">
        <v>3</v>
      </c>
      <c r="U845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42</v>
      </c>
      <c r="V845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95</v>
      </c>
      <c r="W845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76</v>
      </c>
      <c r="X845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250</v>
      </c>
      <c r="Y845" s="2">
        <f>SUM(ARWU_RV1000[[#This Row],[THE_RV1000]:[Webometrics_RV1000]])</f>
        <v>463</v>
      </c>
      <c r="Z845" s="1">
        <v>42</v>
      </c>
      <c r="AA845" s="1">
        <v>95</v>
      </c>
      <c r="AB845" s="1">
        <v>76</v>
      </c>
      <c r="AC845" s="1">
        <v>0</v>
      </c>
    </row>
    <row r="846" spans="15:29" outlineLevel="1" x14ac:dyDescent="0.45">
      <c r="O846" s="2" t="s">
        <v>392</v>
      </c>
      <c r="P846" s="2">
        <v>1</v>
      </c>
      <c r="Q846" s="2">
        <v>1</v>
      </c>
      <c r="R846" s="2">
        <v>1</v>
      </c>
      <c r="S846" s="2">
        <v>0</v>
      </c>
      <c r="T846" s="2">
        <v>3</v>
      </c>
      <c r="U846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76</v>
      </c>
      <c r="V846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81</v>
      </c>
      <c r="W846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61</v>
      </c>
      <c r="X846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250</v>
      </c>
      <c r="Y846" s="2">
        <f>SUM(ARWU_RV1000[[#This Row],[THE_RV1000]:[Webometrics_RV1000]])</f>
        <v>468</v>
      </c>
      <c r="Z846" s="2">
        <v>76</v>
      </c>
      <c r="AA846" s="2">
        <v>81</v>
      </c>
      <c r="AB846" s="2">
        <v>61</v>
      </c>
      <c r="AC846" s="2">
        <v>0</v>
      </c>
    </row>
    <row r="847" spans="15:29" outlineLevel="1" x14ac:dyDescent="0.45">
      <c r="O847" s="1" t="s">
        <v>471</v>
      </c>
      <c r="P847" s="1">
        <v>1</v>
      </c>
      <c r="Q847" s="1">
        <v>1</v>
      </c>
      <c r="R847" s="1">
        <v>0</v>
      </c>
      <c r="S847" s="1">
        <v>1</v>
      </c>
      <c r="T847" s="1">
        <v>3</v>
      </c>
      <c r="U847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98</v>
      </c>
      <c r="V847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64</v>
      </c>
      <c r="W847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250</v>
      </c>
      <c r="X847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58</v>
      </c>
      <c r="Y847" s="2">
        <f>SUM(ARWU_RV1000[[#This Row],[THE_RV1000]:[Webometrics_RV1000]])</f>
        <v>470</v>
      </c>
      <c r="Z847" s="1">
        <v>98</v>
      </c>
      <c r="AA847" s="1">
        <v>64</v>
      </c>
      <c r="AB847" s="1">
        <v>0</v>
      </c>
      <c r="AC847" s="1">
        <v>58</v>
      </c>
    </row>
    <row r="848" spans="15:29" outlineLevel="1" x14ac:dyDescent="0.45">
      <c r="O848" s="2" t="s">
        <v>388</v>
      </c>
      <c r="P848" s="2">
        <v>1</v>
      </c>
      <c r="Q848" s="2">
        <v>1</v>
      </c>
      <c r="R848" s="2">
        <v>0</v>
      </c>
      <c r="S848" s="2">
        <v>1</v>
      </c>
      <c r="T848" s="2">
        <v>3</v>
      </c>
      <c r="U848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75</v>
      </c>
      <c r="V848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66</v>
      </c>
      <c r="W848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250</v>
      </c>
      <c r="X848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84</v>
      </c>
      <c r="Y848" s="2">
        <f>SUM(ARWU_RV1000[[#This Row],[THE_RV1000]:[Webometrics_RV1000]])</f>
        <v>475</v>
      </c>
      <c r="Z848" s="2">
        <v>75</v>
      </c>
      <c r="AA848" s="2">
        <v>66</v>
      </c>
      <c r="AB848" s="2">
        <v>0</v>
      </c>
      <c r="AC848" s="2">
        <v>84</v>
      </c>
    </row>
    <row r="849" spans="15:29" outlineLevel="1" x14ac:dyDescent="0.45">
      <c r="O849" s="1" t="s">
        <v>809</v>
      </c>
      <c r="P849" s="1">
        <v>0</v>
      </c>
      <c r="Q849" s="1">
        <v>1</v>
      </c>
      <c r="R849" s="1">
        <v>0</v>
      </c>
      <c r="S849" s="1">
        <v>1</v>
      </c>
      <c r="T849" s="1">
        <v>2</v>
      </c>
      <c r="U849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250</v>
      </c>
      <c r="V849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19</v>
      </c>
      <c r="W849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250</v>
      </c>
      <c r="X849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39</v>
      </c>
      <c r="Y849" s="2">
        <f>SUM(ARWU_RV1000[[#This Row],[THE_RV1000]:[Webometrics_RV1000]])</f>
        <v>558</v>
      </c>
      <c r="Z849" s="1">
        <v>0</v>
      </c>
      <c r="AA849" s="1">
        <v>19</v>
      </c>
      <c r="AB849" s="1">
        <v>0</v>
      </c>
      <c r="AC849" s="1">
        <v>39</v>
      </c>
    </row>
    <row r="850" spans="15:29" outlineLevel="1" x14ac:dyDescent="0.45">
      <c r="O850" s="2" t="s">
        <v>556</v>
      </c>
      <c r="P850" s="2">
        <v>0</v>
      </c>
      <c r="Q850" s="2">
        <v>1</v>
      </c>
      <c r="R850" s="2">
        <v>0</v>
      </c>
      <c r="S850" s="2">
        <v>1</v>
      </c>
      <c r="T850" s="2">
        <v>2</v>
      </c>
      <c r="U850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250</v>
      </c>
      <c r="V850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44</v>
      </c>
      <c r="W850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250</v>
      </c>
      <c r="X850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18</v>
      </c>
      <c r="Y850" s="2">
        <f>SUM(ARWU_RV1000[[#This Row],[THE_RV1000]:[Webometrics_RV1000]])</f>
        <v>562</v>
      </c>
      <c r="Z850" s="2">
        <v>0</v>
      </c>
      <c r="AA850" s="2">
        <v>44</v>
      </c>
      <c r="AB850" s="2">
        <v>0</v>
      </c>
      <c r="AC850" s="2">
        <v>18</v>
      </c>
    </row>
    <row r="851" spans="15:29" outlineLevel="1" x14ac:dyDescent="0.45">
      <c r="O851" s="1" t="s">
        <v>270</v>
      </c>
      <c r="P851" s="1">
        <v>1</v>
      </c>
      <c r="Q851" s="1">
        <v>1</v>
      </c>
      <c r="R851" s="1">
        <v>0</v>
      </c>
      <c r="S851" s="1">
        <v>0</v>
      </c>
      <c r="T851" s="1">
        <v>2</v>
      </c>
      <c r="U851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49</v>
      </c>
      <c r="V851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41</v>
      </c>
      <c r="W851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250</v>
      </c>
      <c r="X851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250</v>
      </c>
      <c r="Y851" s="2">
        <f>SUM(ARWU_RV1000[[#This Row],[THE_RV1000]:[Webometrics_RV1000]])</f>
        <v>590</v>
      </c>
      <c r="Z851" s="1">
        <v>49</v>
      </c>
      <c r="AA851" s="1">
        <v>41</v>
      </c>
      <c r="AB851" s="1">
        <v>0</v>
      </c>
      <c r="AC851" s="1">
        <v>0</v>
      </c>
    </row>
    <row r="852" spans="15:29" outlineLevel="1" x14ac:dyDescent="0.45">
      <c r="O852" s="2" t="s">
        <v>607</v>
      </c>
      <c r="P852" s="2">
        <v>0</v>
      </c>
      <c r="Q852" s="2">
        <v>1</v>
      </c>
      <c r="R852" s="2">
        <v>0</v>
      </c>
      <c r="S852" s="2">
        <v>1</v>
      </c>
      <c r="T852" s="2">
        <v>2</v>
      </c>
      <c r="U852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250</v>
      </c>
      <c r="V852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82</v>
      </c>
      <c r="W852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250</v>
      </c>
      <c r="X852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46</v>
      </c>
      <c r="Y852" s="2">
        <f>SUM(ARWU_RV1000[[#This Row],[THE_RV1000]:[Webometrics_RV1000]])</f>
        <v>628</v>
      </c>
      <c r="Z852" s="2">
        <v>0</v>
      </c>
      <c r="AA852" s="2">
        <v>82</v>
      </c>
      <c r="AB852" s="2">
        <v>0</v>
      </c>
      <c r="AC852" s="2">
        <v>46</v>
      </c>
    </row>
    <row r="853" spans="15:29" outlineLevel="1" x14ac:dyDescent="0.45">
      <c r="O853" s="1" t="s">
        <v>813</v>
      </c>
      <c r="P853" s="1">
        <v>0</v>
      </c>
      <c r="Q853" s="1">
        <v>1</v>
      </c>
      <c r="R853" s="1">
        <v>0</v>
      </c>
      <c r="S853" s="1">
        <v>1</v>
      </c>
      <c r="T853" s="1">
        <v>2</v>
      </c>
      <c r="U853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250</v>
      </c>
      <c r="V853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83</v>
      </c>
      <c r="W853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250</v>
      </c>
      <c r="X853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45</v>
      </c>
      <c r="Y853" s="2">
        <f>SUM(ARWU_RV1000[[#This Row],[THE_RV1000]:[Webometrics_RV1000]])</f>
        <v>628</v>
      </c>
      <c r="Z853" s="1">
        <v>0</v>
      </c>
      <c r="AA853" s="1">
        <v>83</v>
      </c>
      <c r="AB853" s="1">
        <v>0</v>
      </c>
      <c r="AC853" s="1">
        <v>45</v>
      </c>
    </row>
    <row r="854" spans="15:29" outlineLevel="1" x14ac:dyDescent="0.45">
      <c r="O854" s="2" t="s">
        <v>619</v>
      </c>
      <c r="P854" s="2">
        <v>0</v>
      </c>
      <c r="Q854" s="2">
        <v>1</v>
      </c>
      <c r="R854" s="2">
        <v>0</v>
      </c>
      <c r="S854" s="2">
        <v>1</v>
      </c>
      <c r="T854" s="2">
        <v>2</v>
      </c>
      <c r="U854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250</v>
      </c>
      <c r="V854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94</v>
      </c>
      <c r="W854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250</v>
      </c>
      <c r="X854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34</v>
      </c>
      <c r="Y854" s="2">
        <f>SUM(ARWU_RV1000[[#This Row],[THE_RV1000]:[Webometrics_RV1000]])</f>
        <v>628</v>
      </c>
      <c r="Z854" s="2">
        <v>0</v>
      </c>
      <c r="AA854" s="2">
        <v>94</v>
      </c>
      <c r="AB854" s="2">
        <v>0</v>
      </c>
      <c r="AC854" s="2">
        <v>34</v>
      </c>
    </row>
    <row r="855" spans="15:29" outlineLevel="1" x14ac:dyDescent="0.45">
      <c r="O855" s="1" t="s">
        <v>617</v>
      </c>
      <c r="P855" s="1">
        <v>0</v>
      </c>
      <c r="Q855" s="1">
        <v>1</v>
      </c>
      <c r="R855" s="1">
        <v>0</v>
      </c>
      <c r="S855" s="1">
        <v>1</v>
      </c>
      <c r="T855" s="1">
        <v>2</v>
      </c>
      <c r="U855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250</v>
      </c>
      <c r="V855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92</v>
      </c>
      <c r="W855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250</v>
      </c>
      <c r="X855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71</v>
      </c>
      <c r="Y855" s="2">
        <f>SUM(ARWU_RV1000[[#This Row],[THE_RV1000]:[Webometrics_RV1000]])</f>
        <v>663</v>
      </c>
      <c r="Z855" s="1">
        <v>0</v>
      </c>
      <c r="AA855" s="1">
        <v>92</v>
      </c>
      <c r="AB855" s="1">
        <v>0</v>
      </c>
      <c r="AC855" s="1">
        <v>71</v>
      </c>
    </row>
    <row r="856" spans="15:29" outlineLevel="1" x14ac:dyDescent="0.45">
      <c r="O856" s="2" t="s">
        <v>598</v>
      </c>
      <c r="P856" s="2">
        <v>0</v>
      </c>
      <c r="Q856" s="2">
        <v>1</v>
      </c>
      <c r="R856" s="2">
        <v>0</v>
      </c>
      <c r="S856" s="2">
        <v>1</v>
      </c>
      <c r="T856" s="2">
        <v>2</v>
      </c>
      <c r="U856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250</v>
      </c>
      <c r="V856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67</v>
      </c>
      <c r="W856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250</v>
      </c>
      <c r="X856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97</v>
      </c>
      <c r="Y856" s="2">
        <f>SUM(ARWU_RV1000[[#This Row],[THE_RV1000]:[Webometrics_RV1000]])</f>
        <v>664</v>
      </c>
      <c r="Z856" s="2">
        <v>0</v>
      </c>
      <c r="AA856" s="2">
        <v>67</v>
      </c>
      <c r="AB856" s="2">
        <v>0</v>
      </c>
      <c r="AC856" s="2">
        <v>97</v>
      </c>
    </row>
    <row r="857" spans="15:29" outlineLevel="1" x14ac:dyDescent="0.45">
      <c r="O857" s="1" t="s">
        <v>443</v>
      </c>
      <c r="P857" s="1">
        <v>1</v>
      </c>
      <c r="Q857" s="1">
        <v>1</v>
      </c>
      <c r="R857" s="1">
        <v>0</v>
      </c>
      <c r="S857" s="1">
        <v>0</v>
      </c>
      <c r="T857" s="1">
        <v>2</v>
      </c>
      <c r="U857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89</v>
      </c>
      <c r="V857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76</v>
      </c>
      <c r="W857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250</v>
      </c>
      <c r="X857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250</v>
      </c>
      <c r="Y857" s="2">
        <f>SUM(ARWU_RV1000[[#This Row],[THE_RV1000]:[Webometrics_RV1000]])</f>
        <v>665</v>
      </c>
      <c r="Z857" s="1">
        <v>89</v>
      </c>
      <c r="AA857" s="1">
        <v>76</v>
      </c>
      <c r="AB857" s="1">
        <v>0</v>
      </c>
      <c r="AC857" s="1">
        <v>0</v>
      </c>
    </row>
    <row r="858" spans="15:29" outlineLevel="1" x14ac:dyDescent="0.45">
      <c r="O858" s="2" t="s">
        <v>408</v>
      </c>
      <c r="P858" s="2">
        <v>1</v>
      </c>
      <c r="Q858" s="2">
        <v>1</v>
      </c>
      <c r="R858" s="2">
        <v>0</v>
      </c>
      <c r="S858" s="2">
        <v>0</v>
      </c>
      <c r="T858" s="2">
        <v>2</v>
      </c>
      <c r="U858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80</v>
      </c>
      <c r="V858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87</v>
      </c>
      <c r="W858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250</v>
      </c>
      <c r="X858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250</v>
      </c>
      <c r="Y858" s="2">
        <f>SUM(ARWU_RV1000[[#This Row],[THE_RV1000]:[Webometrics_RV1000]])</f>
        <v>667</v>
      </c>
      <c r="Z858" s="2">
        <v>80</v>
      </c>
      <c r="AA858" s="2">
        <v>87</v>
      </c>
      <c r="AB858" s="2">
        <v>0</v>
      </c>
      <c r="AC858" s="2">
        <v>0</v>
      </c>
    </row>
    <row r="859" spans="15:29" outlineLevel="1" x14ac:dyDescent="0.45">
      <c r="O859" s="1" t="s">
        <v>428</v>
      </c>
      <c r="P859" s="1">
        <v>1</v>
      </c>
      <c r="Q859" s="1">
        <v>1</v>
      </c>
      <c r="R859" s="1">
        <v>0</v>
      </c>
      <c r="S859" s="1">
        <v>0</v>
      </c>
      <c r="T859" s="1">
        <v>2</v>
      </c>
      <c r="U859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85</v>
      </c>
      <c r="V859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90</v>
      </c>
      <c r="W859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250</v>
      </c>
      <c r="X859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250</v>
      </c>
      <c r="Y859" s="2">
        <f>SUM(ARWU_RV1000[[#This Row],[THE_RV1000]:[Webometrics_RV1000]])</f>
        <v>675</v>
      </c>
      <c r="Z859" s="1">
        <v>85</v>
      </c>
      <c r="AA859" s="1">
        <v>90</v>
      </c>
      <c r="AB859" s="1">
        <v>0</v>
      </c>
      <c r="AC859" s="1">
        <v>0</v>
      </c>
    </row>
    <row r="860" spans="15:29" outlineLevel="1" x14ac:dyDescent="0.45">
      <c r="O860" s="2" t="s">
        <v>618</v>
      </c>
      <c r="P860" s="2">
        <v>0</v>
      </c>
      <c r="Q860" s="2">
        <v>1</v>
      </c>
      <c r="R860" s="2">
        <v>0</v>
      </c>
      <c r="S860" s="2">
        <v>1</v>
      </c>
      <c r="T860" s="2">
        <v>2</v>
      </c>
      <c r="U860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250</v>
      </c>
      <c r="V860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92</v>
      </c>
      <c r="W860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250</v>
      </c>
      <c r="X860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93</v>
      </c>
      <c r="Y860" s="2">
        <f>SUM(ARWU_RV1000[[#This Row],[THE_RV1000]:[Webometrics_RV1000]])</f>
        <v>685</v>
      </c>
      <c r="Z860" s="2">
        <v>0</v>
      </c>
      <c r="AA860" s="2">
        <v>92</v>
      </c>
      <c r="AB860" s="2">
        <v>0</v>
      </c>
      <c r="AC860" s="2">
        <v>93</v>
      </c>
    </row>
    <row r="861" spans="15:29" outlineLevel="1" x14ac:dyDescent="0.45">
      <c r="O861" s="1" t="s">
        <v>622</v>
      </c>
      <c r="P861" s="1">
        <v>0</v>
      </c>
      <c r="Q861" s="1">
        <v>1</v>
      </c>
      <c r="R861" s="1">
        <v>1</v>
      </c>
      <c r="S861" s="1">
        <v>0</v>
      </c>
      <c r="T861" s="1">
        <v>2</v>
      </c>
      <c r="U861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250</v>
      </c>
      <c r="V861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99</v>
      </c>
      <c r="W861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90</v>
      </c>
      <c r="X861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250</v>
      </c>
      <c r="Y861" s="2">
        <f>SUM(ARWU_RV1000[[#This Row],[THE_RV1000]:[Webometrics_RV1000]])</f>
        <v>689</v>
      </c>
      <c r="Z861" s="1">
        <v>0</v>
      </c>
      <c r="AA861" s="1">
        <v>99</v>
      </c>
      <c r="AB861" s="1">
        <v>90</v>
      </c>
      <c r="AC861" s="1">
        <v>0</v>
      </c>
    </row>
    <row r="862" spans="15:29" outlineLevel="1" x14ac:dyDescent="0.45">
      <c r="O862" s="2" t="s">
        <v>552</v>
      </c>
      <c r="P862" s="2">
        <v>0</v>
      </c>
      <c r="Q862" s="2">
        <v>1</v>
      </c>
      <c r="R862" s="2">
        <v>0</v>
      </c>
      <c r="S862" s="2">
        <v>0</v>
      </c>
      <c r="T862" s="2">
        <v>1</v>
      </c>
      <c r="U862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250</v>
      </c>
      <c r="V862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44</v>
      </c>
      <c r="W862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250</v>
      </c>
      <c r="X862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250</v>
      </c>
      <c r="Y862" s="2">
        <f>SUM(ARWU_RV1000[[#This Row],[THE_RV1000]:[Webometrics_RV1000]])</f>
        <v>794</v>
      </c>
      <c r="Z862" s="2">
        <v>0</v>
      </c>
      <c r="AA862" s="2">
        <v>44</v>
      </c>
      <c r="AB862" s="2">
        <v>0</v>
      </c>
      <c r="AC862" s="2">
        <v>0</v>
      </c>
    </row>
    <row r="863" spans="15:29" outlineLevel="1" x14ac:dyDescent="0.45">
      <c r="O863" s="1" t="s">
        <v>561</v>
      </c>
      <c r="P863" s="1">
        <v>0</v>
      </c>
      <c r="Q863" s="1">
        <v>1</v>
      </c>
      <c r="R863" s="1">
        <v>0</v>
      </c>
      <c r="S863" s="1">
        <v>0</v>
      </c>
      <c r="T863" s="1">
        <v>1</v>
      </c>
      <c r="U863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250</v>
      </c>
      <c r="V863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50</v>
      </c>
      <c r="W863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250</v>
      </c>
      <c r="X863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250</v>
      </c>
      <c r="Y863" s="2">
        <f>SUM(ARWU_RV1000[[#This Row],[THE_RV1000]:[Webometrics_RV1000]])</f>
        <v>800</v>
      </c>
      <c r="Z863" s="1">
        <v>0</v>
      </c>
      <c r="AA863" s="1">
        <v>50</v>
      </c>
      <c r="AB863" s="1">
        <v>0</v>
      </c>
      <c r="AC863" s="1">
        <v>0</v>
      </c>
    </row>
    <row r="864" spans="15:29" outlineLevel="1" x14ac:dyDescent="0.45">
      <c r="O864" s="2" t="s">
        <v>563</v>
      </c>
      <c r="P864" s="2">
        <v>0</v>
      </c>
      <c r="Q864" s="2">
        <v>1</v>
      </c>
      <c r="R864" s="2">
        <v>0</v>
      </c>
      <c r="S864" s="2">
        <v>0</v>
      </c>
      <c r="T864" s="2">
        <v>1</v>
      </c>
      <c r="U864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250</v>
      </c>
      <c r="V864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51</v>
      </c>
      <c r="W864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250</v>
      </c>
      <c r="X864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250</v>
      </c>
      <c r="Y864" s="2">
        <f>SUM(ARWU_RV1000[[#This Row],[THE_RV1000]:[Webometrics_RV1000]])</f>
        <v>801</v>
      </c>
      <c r="Z864" s="2">
        <v>0</v>
      </c>
      <c r="AA864" s="2">
        <v>51</v>
      </c>
      <c r="AB864" s="2">
        <v>0</v>
      </c>
      <c r="AC864" s="2">
        <v>0</v>
      </c>
    </row>
    <row r="865" spans="15:29" outlineLevel="1" x14ac:dyDescent="0.45">
      <c r="O865" s="1" t="s">
        <v>565</v>
      </c>
      <c r="P865" s="1">
        <v>0</v>
      </c>
      <c r="Q865" s="1">
        <v>1</v>
      </c>
      <c r="R865" s="1">
        <v>0</v>
      </c>
      <c r="S865" s="1">
        <v>0</v>
      </c>
      <c r="T865" s="1">
        <v>1</v>
      </c>
      <c r="U865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250</v>
      </c>
      <c r="V865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52</v>
      </c>
      <c r="W865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250</v>
      </c>
      <c r="X865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250</v>
      </c>
      <c r="Y865" s="2">
        <f>SUM(ARWU_RV1000[[#This Row],[THE_RV1000]:[Webometrics_RV1000]])</f>
        <v>802</v>
      </c>
      <c r="Z865" s="1">
        <v>0</v>
      </c>
      <c r="AA865" s="1">
        <v>52</v>
      </c>
      <c r="AB865" s="1">
        <v>0</v>
      </c>
      <c r="AC865" s="1">
        <v>0</v>
      </c>
    </row>
    <row r="866" spans="15:29" outlineLevel="1" x14ac:dyDescent="0.45">
      <c r="O866" s="2" t="s">
        <v>570</v>
      </c>
      <c r="P866" s="2">
        <v>0</v>
      </c>
      <c r="Q866" s="2">
        <v>1</v>
      </c>
      <c r="R866" s="2">
        <v>0</v>
      </c>
      <c r="S866" s="2">
        <v>0</v>
      </c>
      <c r="T866" s="2">
        <v>1</v>
      </c>
      <c r="U866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250</v>
      </c>
      <c r="V866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57</v>
      </c>
      <c r="W866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250</v>
      </c>
      <c r="X866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250</v>
      </c>
      <c r="Y866" s="2">
        <f>SUM(ARWU_RV1000[[#This Row],[THE_RV1000]:[Webometrics_RV1000]])</f>
        <v>807</v>
      </c>
      <c r="Z866" s="2">
        <v>0</v>
      </c>
      <c r="AA866" s="2">
        <v>57</v>
      </c>
      <c r="AB866" s="2">
        <v>0</v>
      </c>
      <c r="AC866" s="2">
        <v>0</v>
      </c>
    </row>
    <row r="867" spans="15:29" outlineLevel="1" x14ac:dyDescent="0.45">
      <c r="O867" s="1" t="s">
        <v>594</v>
      </c>
      <c r="P867" s="1">
        <v>0</v>
      </c>
      <c r="Q867" s="1">
        <v>1</v>
      </c>
      <c r="R867" s="1">
        <v>0</v>
      </c>
      <c r="S867" s="1">
        <v>0</v>
      </c>
      <c r="T867" s="1">
        <v>1</v>
      </c>
      <c r="U867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250</v>
      </c>
      <c r="V867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62</v>
      </c>
      <c r="W867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250</v>
      </c>
      <c r="X867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250</v>
      </c>
      <c r="Y867" s="2">
        <f>SUM(ARWU_RV1000[[#This Row],[THE_RV1000]:[Webometrics_RV1000]])</f>
        <v>812</v>
      </c>
      <c r="Z867" s="1">
        <v>0</v>
      </c>
      <c r="AA867" s="1">
        <v>62</v>
      </c>
      <c r="AB867" s="1">
        <v>0</v>
      </c>
      <c r="AC867" s="1">
        <v>0</v>
      </c>
    </row>
    <row r="868" spans="15:29" outlineLevel="1" x14ac:dyDescent="0.45">
      <c r="O868" s="2" t="s">
        <v>599</v>
      </c>
      <c r="P868" s="2">
        <v>0</v>
      </c>
      <c r="Q868" s="2">
        <v>1</v>
      </c>
      <c r="R868" s="2">
        <v>0</v>
      </c>
      <c r="S868" s="2">
        <v>0</v>
      </c>
      <c r="T868" s="2">
        <v>1</v>
      </c>
      <c r="U868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250</v>
      </c>
      <c r="V868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69</v>
      </c>
      <c r="W868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250</v>
      </c>
      <c r="X868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250</v>
      </c>
      <c r="Y868" s="2">
        <f>SUM(ARWU_RV1000[[#This Row],[THE_RV1000]:[Webometrics_RV1000]])</f>
        <v>819</v>
      </c>
      <c r="Z868" s="2">
        <v>0</v>
      </c>
      <c r="AA868" s="2">
        <v>69</v>
      </c>
      <c r="AB868" s="2">
        <v>0</v>
      </c>
      <c r="AC868" s="2">
        <v>0</v>
      </c>
    </row>
    <row r="869" spans="15:29" outlineLevel="1" x14ac:dyDescent="0.45">
      <c r="O869" s="1" t="s">
        <v>600</v>
      </c>
      <c r="P869" s="1">
        <v>0</v>
      </c>
      <c r="Q869" s="1">
        <v>1</v>
      </c>
      <c r="R869" s="1">
        <v>0</v>
      </c>
      <c r="S869" s="1">
        <v>0</v>
      </c>
      <c r="T869" s="1">
        <v>1</v>
      </c>
      <c r="U869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250</v>
      </c>
      <c r="V869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70</v>
      </c>
      <c r="W869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250</v>
      </c>
      <c r="X869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250</v>
      </c>
      <c r="Y869" s="2">
        <f>SUM(ARWU_RV1000[[#This Row],[THE_RV1000]:[Webometrics_RV1000]])</f>
        <v>820</v>
      </c>
      <c r="Z869" s="1">
        <v>0</v>
      </c>
      <c r="AA869" s="1">
        <v>70</v>
      </c>
      <c r="AB869" s="1">
        <v>0</v>
      </c>
      <c r="AC869" s="1">
        <v>0</v>
      </c>
    </row>
    <row r="870" spans="15:29" outlineLevel="1" x14ac:dyDescent="0.45">
      <c r="O870" s="2" t="s">
        <v>601</v>
      </c>
      <c r="P870" s="2">
        <v>0</v>
      </c>
      <c r="Q870" s="2">
        <v>1</v>
      </c>
      <c r="R870" s="2">
        <v>0</v>
      </c>
      <c r="S870" s="2">
        <v>0</v>
      </c>
      <c r="T870" s="2">
        <v>1</v>
      </c>
      <c r="U870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250</v>
      </c>
      <c r="V870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71</v>
      </c>
      <c r="W870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250</v>
      </c>
      <c r="X870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250</v>
      </c>
      <c r="Y870" s="2">
        <f>SUM(ARWU_RV1000[[#This Row],[THE_RV1000]:[Webometrics_RV1000]])</f>
        <v>821</v>
      </c>
      <c r="Z870" s="2">
        <v>0</v>
      </c>
      <c r="AA870" s="2">
        <v>71</v>
      </c>
      <c r="AB870" s="2">
        <v>0</v>
      </c>
      <c r="AC870" s="2">
        <v>0</v>
      </c>
    </row>
    <row r="871" spans="15:29" outlineLevel="1" x14ac:dyDescent="0.45">
      <c r="O871" s="1" t="s">
        <v>602</v>
      </c>
      <c r="P871" s="1">
        <v>0</v>
      </c>
      <c r="Q871" s="1">
        <v>1</v>
      </c>
      <c r="R871" s="1">
        <v>0</v>
      </c>
      <c r="S871" s="1">
        <v>0</v>
      </c>
      <c r="T871" s="1">
        <v>1</v>
      </c>
      <c r="U871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250</v>
      </c>
      <c r="V871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74</v>
      </c>
      <c r="W871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250</v>
      </c>
      <c r="X871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250</v>
      </c>
      <c r="Y871" s="2">
        <f>SUM(ARWU_RV1000[[#This Row],[THE_RV1000]:[Webometrics_RV1000]])</f>
        <v>824</v>
      </c>
      <c r="Z871" s="1">
        <v>0</v>
      </c>
      <c r="AA871" s="1">
        <v>74</v>
      </c>
      <c r="AB871" s="1">
        <v>0</v>
      </c>
      <c r="AC871" s="1">
        <v>0</v>
      </c>
    </row>
    <row r="872" spans="15:29" outlineLevel="1" x14ac:dyDescent="0.45">
      <c r="O872" s="2" t="s">
        <v>603</v>
      </c>
      <c r="P872" s="2">
        <v>0</v>
      </c>
      <c r="Q872" s="2">
        <v>1</v>
      </c>
      <c r="R872" s="2">
        <v>0</v>
      </c>
      <c r="S872" s="2">
        <v>0</v>
      </c>
      <c r="T872" s="2">
        <v>1</v>
      </c>
      <c r="U872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250</v>
      </c>
      <c r="V872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77</v>
      </c>
      <c r="W872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250</v>
      </c>
      <c r="X872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250</v>
      </c>
      <c r="Y872" s="2">
        <f>SUM(ARWU_RV1000[[#This Row],[THE_RV1000]:[Webometrics_RV1000]])</f>
        <v>827</v>
      </c>
      <c r="Z872" s="2">
        <v>0</v>
      </c>
      <c r="AA872" s="2">
        <v>77</v>
      </c>
      <c r="AB872" s="2">
        <v>0</v>
      </c>
      <c r="AC872" s="2">
        <v>0</v>
      </c>
    </row>
    <row r="873" spans="15:29" outlineLevel="1" x14ac:dyDescent="0.45">
      <c r="O873" s="1" t="s">
        <v>604</v>
      </c>
      <c r="P873" s="1">
        <v>0</v>
      </c>
      <c r="Q873" s="1">
        <v>1</v>
      </c>
      <c r="R873" s="1">
        <v>0</v>
      </c>
      <c r="S873" s="1">
        <v>0</v>
      </c>
      <c r="T873" s="1">
        <v>1</v>
      </c>
      <c r="U873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250</v>
      </c>
      <c r="V873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78</v>
      </c>
      <c r="W873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250</v>
      </c>
      <c r="X873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250</v>
      </c>
      <c r="Y873" s="2">
        <f>SUM(ARWU_RV1000[[#This Row],[THE_RV1000]:[Webometrics_RV1000]])</f>
        <v>828</v>
      </c>
      <c r="Z873" s="1">
        <v>0</v>
      </c>
      <c r="AA873" s="1">
        <v>78</v>
      </c>
      <c r="AB873" s="1">
        <v>0</v>
      </c>
      <c r="AC873" s="1">
        <v>0</v>
      </c>
    </row>
    <row r="874" spans="15:29" outlineLevel="1" x14ac:dyDescent="0.45">
      <c r="O874" s="2" t="s">
        <v>605</v>
      </c>
      <c r="P874" s="2">
        <v>0</v>
      </c>
      <c r="Q874" s="2">
        <v>1</v>
      </c>
      <c r="R874" s="2">
        <v>0</v>
      </c>
      <c r="S874" s="2">
        <v>0</v>
      </c>
      <c r="T874" s="2">
        <v>1</v>
      </c>
      <c r="U874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250</v>
      </c>
      <c r="V874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79</v>
      </c>
      <c r="W874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250</v>
      </c>
      <c r="X874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250</v>
      </c>
      <c r="Y874" s="2">
        <f>SUM(ARWU_RV1000[[#This Row],[THE_RV1000]:[Webometrics_RV1000]])</f>
        <v>829</v>
      </c>
      <c r="Z874" s="2">
        <v>0</v>
      </c>
      <c r="AA874" s="2">
        <v>79</v>
      </c>
      <c r="AB874" s="2">
        <v>0</v>
      </c>
      <c r="AC874" s="2">
        <v>0</v>
      </c>
    </row>
    <row r="875" spans="15:29" outlineLevel="1" x14ac:dyDescent="0.45">
      <c r="O875" s="1" t="s">
        <v>609</v>
      </c>
      <c r="P875" s="1">
        <v>0</v>
      </c>
      <c r="Q875" s="1">
        <v>1</v>
      </c>
      <c r="R875" s="1">
        <v>0</v>
      </c>
      <c r="S875" s="1">
        <v>0</v>
      </c>
      <c r="T875" s="1">
        <v>1</v>
      </c>
      <c r="U875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250</v>
      </c>
      <c r="V875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83</v>
      </c>
      <c r="W875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250</v>
      </c>
      <c r="X875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250</v>
      </c>
      <c r="Y875" s="2">
        <f>SUM(ARWU_RV1000[[#This Row],[THE_RV1000]:[Webometrics_RV1000]])</f>
        <v>833</v>
      </c>
      <c r="Z875" s="1">
        <v>0</v>
      </c>
      <c r="AA875" s="1">
        <v>83</v>
      </c>
      <c r="AB875" s="1">
        <v>0</v>
      </c>
      <c r="AC875" s="1">
        <v>0</v>
      </c>
    </row>
    <row r="876" spans="15:29" outlineLevel="1" x14ac:dyDescent="0.45">
      <c r="O876" s="2" t="s">
        <v>610</v>
      </c>
      <c r="P876" s="2">
        <v>0</v>
      </c>
      <c r="Q876" s="2">
        <v>1</v>
      </c>
      <c r="R876" s="2">
        <v>0</v>
      </c>
      <c r="S876" s="2">
        <v>0</v>
      </c>
      <c r="T876" s="2">
        <v>1</v>
      </c>
      <c r="U876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250</v>
      </c>
      <c r="V876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83</v>
      </c>
      <c r="W876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250</v>
      </c>
      <c r="X876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250</v>
      </c>
      <c r="Y876" s="2">
        <f>SUM(ARWU_RV1000[[#This Row],[THE_RV1000]:[Webometrics_RV1000]])</f>
        <v>833</v>
      </c>
      <c r="Z876" s="2">
        <v>0</v>
      </c>
      <c r="AA876" s="2">
        <v>83</v>
      </c>
      <c r="AB876" s="2">
        <v>0</v>
      </c>
      <c r="AC876" s="2">
        <v>0</v>
      </c>
    </row>
    <row r="877" spans="15:29" outlineLevel="1" x14ac:dyDescent="0.45">
      <c r="O877" s="1" t="s">
        <v>612</v>
      </c>
      <c r="P877" s="1">
        <v>0</v>
      </c>
      <c r="Q877" s="1">
        <v>1</v>
      </c>
      <c r="R877" s="1">
        <v>0</v>
      </c>
      <c r="S877" s="1">
        <v>0</v>
      </c>
      <c r="T877" s="1">
        <v>1</v>
      </c>
      <c r="U877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250</v>
      </c>
      <c r="V877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83</v>
      </c>
      <c r="W877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250</v>
      </c>
      <c r="X877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250</v>
      </c>
      <c r="Y877" s="2">
        <f>SUM(ARWU_RV1000[[#This Row],[THE_RV1000]:[Webometrics_RV1000]])</f>
        <v>833</v>
      </c>
      <c r="Z877" s="1">
        <v>0</v>
      </c>
      <c r="AA877" s="1">
        <v>83</v>
      </c>
      <c r="AB877" s="1">
        <v>0</v>
      </c>
      <c r="AC877" s="1">
        <v>0</v>
      </c>
    </row>
    <row r="878" spans="15:29" outlineLevel="1" x14ac:dyDescent="0.45">
      <c r="O878" s="2" t="s">
        <v>615</v>
      </c>
      <c r="P878" s="2">
        <v>0</v>
      </c>
      <c r="Q878" s="2">
        <v>1</v>
      </c>
      <c r="R878" s="2">
        <v>0</v>
      </c>
      <c r="S878" s="2">
        <v>0</v>
      </c>
      <c r="T878" s="2">
        <v>1</v>
      </c>
      <c r="U878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250</v>
      </c>
      <c r="V878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89</v>
      </c>
      <c r="W878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250</v>
      </c>
      <c r="X878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250</v>
      </c>
      <c r="Y878" s="2">
        <f>SUM(ARWU_RV1000[[#This Row],[THE_RV1000]:[Webometrics_RV1000]])</f>
        <v>839</v>
      </c>
      <c r="Z878" s="2">
        <v>0</v>
      </c>
      <c r="AA878" s="2">
        <v>89</v>
      </c>
      <c r="AB878" s="2">
        <v>0</v>
      </c>
      <c r="AC878" s="2">
        <v>0</v>
      </c>
    </row>
    <row r="879" spans="15:29" outlineLevel="1" x14ac:dyDescent="0.45">
      <c r="O879" s="1" t="s">
        <v>616</v>
      </c>
      <c r="P879" s="1">
        <v>0</v>
      </c>
      <c r="Q879" s="1">
        <v>1</v>
      </c>
      <c r="R879" s="1">
        <v>0</v>
      </c>
      <c r="S879" s="1">
        <v>0</v>
      </c>
      <c r="T879" s="1">
        <v>1</v>
      </c>
      <c r="U879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250</v>
      </c>
      <c r="V879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90</v>
      </c>
      <c r="W879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250</v>
      </c>
      <c r="X879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250</v>
      </c>
      <c r="Y879" s="2">
        <f>SUM(ARWU_RV1000[[#This Row],[THE_RV1000]:[Webometrics_RV1000]])</f>
        <v>840</v>
      </c>
      <c r="Z879" s="1">
        <v>0</v>
      </c>
      <c r="AA879" s="1">
        <v>90</v>
      </c>
      <c r="AB879" s="1">
        <v>0</v>
      </c>
      <c r="AC879" s="1">
        <v>0</v>
      </c>
    </row>
    <row r="880" spans="15:29" outlineLevel="1" x14ac:dyDescent="0.45">
      <c r="O880" s="11" t="s">
        <v>620</v>
      </c>
      <c r="P880" s="11">
        <v>0</v>
      </c>
      <c r="Q880" s="11">
        <v>1</v>
      </c>
      <c r="R880" s="11">
        <v>0</v>
      </c>
      <c r="S880" s="11">
        <v>0</v>
      </c>
      <c r="T880" s="11">
        <v>1</v>
      </c>
      <c r="U880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250</v>
      </c>
      <c r="V880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96</v>
      </c>
      <c r="W880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250</v>
      </c>
      <c r="X880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250</v>
      </c>
      <c r="Y880" s="2">
        <f>SUM(ARWU_RV1000[[#This Row],[THE_RV1000]:[Webometrics_RV1000]])</f>
        <v>846</v>
      </c>
      <c r="Z880" s="11">
        <v>0</v>
      </c>
      <c r="AA880" s="11">
        <v>96</v>
      </c>
      <c r="AB880" s="11">
        <v>0</v>
      </c>
      <c r="AC880" s="11">
        <v>0</v>
      </c>
    </row>
    <row r="882" spans="15:29" x14ac:dyDescent="0.45">
      <c r="O882" t="s">
        <v>893</v>
      </c>
    </row>
    <row r="883" spans="15:29" x14ac:dyDescent="0.45">
      <c r="O883" s="7" t="s">
        <v>855</v>
      </c>
      <c r="P883" s="7" t="s">
        <v>846</v>
      </c>
      <c r="Q883" s="7" t="s">
        <v>848</v>
      </c>
      <c r="R883" s="7" t="s">
        <v>849</v>
      </c>
      <c r="S883" s="7" t="s">
        <v>850</v>
      </c>
      <c r="T883" s="7" t="s">
        <v>861</v>
      </c>
      <c r="U883" s="7" t="s">
        <v>875</v>
      </c>
      <c r="V883" s="7" t="s">
        <v>876</v>
      </c>
      <c r="W883" s="7" t="s">
        <v>877</v>
      </c>
      <c r="X883" s="7" t="s">
        <v>878</v>
      </c>
      <c r="Y883" s="7" t="s">
        <v>874</v>
      </c>
      <c r="Z883" s="7" t="s">
        <v>870</v>
      </c>
      <c r="AA883" s="7" t="s">
        <v>871</v>
      </c>
      <c r="AB883" s="7" t="s">
        <v>872</v>
      </c>
      <c r="AC883" s="7" t="s">
        <v>873</v>
      </c>
    </row>
    <row r="884" spans="15:29" outlineLevel="1" x14ac:dyDescent="0.45">
      <c r="O884" s="1" t="s">
        <v>8</v>
      </c>
      <c r="P884" s="1">
        <v>1</v>
      </c>
      <c r="Q884" s="1">
        <v>1</v>
      </c>
      <c r="R884" s="1">
        <v>1</v>
      </c>
      <c r="S884" s="1">
        <v>1</v>
      </c>
      <c r="T884" s="1">
        <v>4</v>
      </c>
      <c r="U884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2</v>
      </c>
      <c r="V884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1</v>
      </c>
      <c r="W884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5</v>
      </c>
      <c r="X884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1</v>
      </c>
      <c r="Y884" s="2">
        <f>SUM(QS_RV1000[[#This Row],[THE_RV1000]:[Webometrics_RV1000]])</f>
        <v>9</v>
      </c>
      <c r="Z884" s="1">
        <v>2</v>
      </c>
      <c r="AA884" s="1">
        <v>1</v>
      </c>
      <c r="AB884" s="1">
        <v>5</v>
      </c>
      <c r="AC884" s="1">
        <v>1</v>
      </c>
    </row>
    <row r="885" spans="15:29" outlineLevel="1" x14ac:dyDescent="0.45">
      <c r="O885" s="2" t="s">
        <v>21</v>
      </c>
      <c r="P885" s="2">
        <v>1</v>
      </c>
      <c r="Q885" s="2">
        <v>1</v>
      </c>
      <c r="R885" s="2">
        <v>1</v>
      </c>
      <c r="S885" s="2">
        <v>1</v>
      </c>
      <c r="T885" s="2">
        <v>4</v>
      </c>
      <c r="U885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3</v>
      </c>
      <c r="V885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2</v>
      </c>
      <c r="W885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3</v>
      </c>
      <c r="X885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2</v>
      </c>
      <c r="Y885" s="2">
        <f>SUM(QS_RV1000[[#This Row],[THE_RV1000]:[Webometrics_RV1000]])</f>
        <v>10</v>
      </c>
      <c r="Z885" s="2">
        <v>3</v>
      </c>
      <c r="AA885" s="2">
        <v>2</v>
      </c>
      <c r="AB885" s="2">
        <v>3</v>
      </c>
      <c r="AC885" s="2">
        <v>2</v>
      </c>
    </row>
    <row r="886" spans="15:29" outlineLevel="1" x14ac:dyDescent="0.45">
      <c r="O886" s="1" t="s">
        <v>27</v>
      </c>
      <c r="P886" s="1">
        <v>1</v>
      </c>
      <c r="Q886" s="1">
        <v>1</v>
      </c>
      <c r="R886" s="1">
        <v>1</v>
      </c>
      <c r="S886" s="1">
        <v>1</v>
      </c>
      <c r="T886" s="1">
        <v>4</v>
      </c>
      <c r="U886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5</v>
      </c>
      <c r="V886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3</v>
      </c>
      <c r="W886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1</v>
      </c>
      <c r="X886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3</v>
      </c>
      <c r="Y886" s="2">
        <f>SUM(QS_RV1000[[#This Row],[THE_RV1000]:[Webometrics_RV1000]])</f>
        <v>12</v>
      </c>
      <c r="Z886" s="1">
        <v>5</v>
      </c>
      <c r="AA886" s="1">
        <v>3</v>
      </c>
      <c r="AB886" s="1">
        <v>1</v>
      </c>
      <c r="AC886" s="1">
        <v>3</v>
      </c>
    </row>
    <row r="887" spans="15:29" outlineLevel="1" x14ac:dyDescent="0.45">
      <c r="O887" s="2" t="s">
        <v>0</v>
      </c>
      <c r="P887" s="2">
        <v>1</v>
      </c>
      <c r="Q887" s="2">
        <v>1</v>
      </c>
      <c r="R887" s="2">
        <v>1</v>
      </c>
      <c r="S887" s="2">
        <v>1</v>
      </c>
      <c r="T887" s="2">
        <v>4</v>
      </c>
      <c r="U887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1</v>
      </c>
      <c r="V887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7</v>
      </c>
      <c r="W887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4</v>
      </c>
      <c r="X887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5</v>
      </c>
      <c r="Y887" s="2">
        <f>SUM(QS_RV1000[[#This Row],[THE_RV1000]:[Webometrics_RV1000]])</f>
        <v>17</v>
      </c>
      <c r="Z887" s="2">
        <v>1</v>
      </c>
      <c r="AA887" s="2">
        <v>7</v>
      </c>
      <c r="AB887" s="2">
        <v>4</v>
      </c>
      <c r="AC887" s="2">
        <v>5</v>
      </c>
    </row>
    <row r="888" spans="15:29" outlineLevel="1" x14ac:dyDescent="0.45">
      <c r="O888" s="1" t="s">
        <v>15</v>
      </c>
      <c r="P888" s="1">
        <v>1</v>
      </c>
      <c r="Q888" s="1">
        <v>1</v>
      </c>
      <c r="R888" s="1">
        <v>1</v>
      </c>
      <c r="S888" s="1">
        <v>1</v>
      </c>
      <c r="T888" s="1">
        <v>4</v>
      </c>
      <c r="U888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3</v>
      </c>
      <c r="V888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4</v>
      </c>
      <c r="W888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2</v>
      </c>
      <c r="X888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12</v>
      </c>
      <c r="Y888" s="2">
        <f>SUM(QS_RV1000[[#This Row],[THE_RV1000]:[Webometrics_RV1000]])</f>
        <v>21</v>
      </c>
      <c r="Z888" s="1">
        <v>3</v>
      </c>
      <c r="AA888" s="1">
        <v>4</v>
      </c>
      <c r="AB888" s="1">
        <v>2</v>
      </c>
      <c r="AC888" s="1">
        <v>12</v>
      </c>
    </row>
    <row r="889" spans="15:29" outlineLevel="1" x14ac:dyDescent="0.45">
      <c r="O889" s="2" t="s">
        <v>792</v>
      </c>
      <c r="P889" s="2">
        <v>1</v>
      </c>
      <c r="Q889" s="2">
        <v>1</v>
      </c>
      <c r="R889" s="2">
        <v>1</v>
      </c>
      <c r="S889" s="2">
        <v>1</v>
      </c>
      <c r="T889" s="2">
        <v>4</v>
      </c>
      <c r="U889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8</v>
      </c>
      <c r="V889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5</v>
      </c>
      <c r="W889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27</v>
      </c>
      <c r="X889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4</v>
      </c>
      <c r="Y889" s="2">
        <f>SUM(QS_RV1000[[#This Row],[THE_RV1000]:[Webometrics_RV1000]])</f>
        <v>44</v>
      </c>
      <c r="Z889" s="2">
        <v>8</v>
      </c>
      <c r="AA889" s="2">
        <v>5</v>
      </c>
      <c r="AB889" s="2">
        <v>27</v>
      </c>
      <c r="AC889" s="2">
        <v>4</v>
      </c>
    </row>
    <row r="890" spans="15:29" outlineLevel="1" x14ac:dyDescent="0.45">
      <c r="O890" s="1" t="s">
        <v>61</v>
      </c>
      <c r="P890" s="1">
        <v>1</v>
      </c>
      <c r="Q890" s="1">
        <v>1</v>
      </c>
      <c r="R890" s="1">
        <v>1</v>
      </c>
      <c r="S890" s="1">
        <v>1</v>
      </c>
      <c r="T890" s="1">
        <v>4</v>
      </c>
      <c r="U890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11</v>
      </c>
      <c r="V890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8</v>
      </c>
      <c r="W890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22</v>
      </c>
      <c r="X890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9</v>
      </c>
      <c r="Y890" s="2">
        <f>SUM(QS_RV1000[[#This Row],[THE_RV1000]:[Webometrics_RV1000]])</f>
        <v>50</v>
      </c>
      <c r="Z890" s="1">
        <v>11</v>
      </c>
      <c r="AA890" s="1">
        <v>8</v>
      </c>
      <c r="AB890" s="1">
        <v>22</v>
      </c>
      <c r="AC890" s="1">
        <v>9</v>
      </c>
    </row>
    <row r="891" spans="15:29" outlineLevel="1" x14ac:dyDescent="0.45">
      <c r="O891" s="2" t="s">
        <v>48</v>
      </c>
      <c r="P891" s="2">
        <v>1</v>
      </c>
      <c r="Q891" s="2">
        <v>1</v>
      </c>
      <c r="R891" s="2">
        <v>1</v>
      </c>
      <c r="S891" s="2">
        <v>1</v>
      </c>
      <c r="T891" s="2">
        <v>4</v>
      </c>
      <c r="U891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9</v>
      </c>
      <c r="V891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11</v>
      </c>
      <c r="W891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18</v>
      </c>
      <c r="X891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14</v>
      </c>
      <c r="Y891" s="2">
        <f>SUM(QS_RV1000[[#This Row],[THE_RV1000]:[Webometrics_RV1000]])</f>
        <v>52</v>
      </c>
      <c r="Z891" s="2">
        <v>9</v>
      </c>
      <c r="AA891" s="2">
        <v>11</v>
      </c>
      <c r="AB891" s="2">
        <v>18</v>
      </c>
      <c r="AC891" s="2">
        <v>14</v>
      </c>
    </row>
    <row r="892" spans="15:29" outlineLevel="1" x14ac:dyDescent="0.45">
      <c r="O892" s="1" t="s">
        <v>79</v>
      </c>
      <c r="P892" s="1">
        <v>1</v>
      </c>
      <c r="Q892" s="1">
        <v>1</v>
      </c>
      <c r="R892" s="1">
        <v>1</v>
      </c>
      <c r="S892" s="1">
        <v>1</v>
      </c>
      <c r="T892" s="1">
        <v>4</v>
      </c>
      <c r="U892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14</v>
      </c>
      <c r="V892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15</v>
      </c>
      <c r="W892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13</v>
      </c>
      <c r="X892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11</v>
      </c>
      <c r="Y892" s="2">
        <f>SUM(QS_RV1000[[#This Row],[THE_RV1000]:[Webometrics_RV1000]])</f>
        <v>53</v>
      </c>
      <c r="Z892" s="1">
        <v>14</v>
      </c>
      <c r="AA892" s="1">
        <v>15</v>
      </c>
      <c r="AB892" s="1">
        <v>13</v>
      </c>
      <c r="AC892" s="1">
        <v>11</v>
      </c>
    </row>
    <row r="893" spans="15:29" outlineLevel="1" x14ac:dyDescent="0.45">
      <c r="O893" s="2" t="s">
        <v>36</v>
      </c>
      <c r="P893" s="2">
        <v>1</v>
      </c>
      <c r="Q893" s="2">
        <v>1</v>
      </c>
      <c r="R893" s="2">
        <v>1</v>
      </c>
      <c r="S893" s="2">
        <v>1</v>
      </c>
      <c r="T893" s="2">
        <v>4</v>
      </c>
      <c r="U893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7</v>
      </c>
      <c r="V893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6</v>
      </c>
      <c r="W893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16</v>
      </c>
      <c r="X893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26</v>
      </c>
      <c r="Y893" s="2">
        <f>SUM(QS_RV1000[[#This Row],[THE_RV1000]:[Webometrics_RV1000]])</f>
        <v>55</v>
      </c>
      <c r="Z893" s="2">
        <v>7</v>
      </c>
      <c r="AA893" s="2">
        <v>6</v>
      </c>
      <c r="AB893" s="2">
        <v>16</v>
      </c>
      <c r="AC893" s="2">
        <v>26</v>
      </c>
    </row>
    <row r="894" spans="15:29" outlineLevel="1" x14ac:dyDescent="0.45">
      <c r="O894" s="1" t="s">
        <v>118</v>
      </c>
      <c r="P894" s="1">
        <v>1</v>
      </c>
      <c r="Q894" s="1">
        <v>1</v>
      </c>
      <c r="R894" s="1">
        <v>1</v>
      </c>
      <c r="S894" s="1">
        <v>1</v>
      </c>
      <c r="T894" s="1">
        <v>4</v>
      </c>
      <c r="U894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20</v>
      </c>
      <c r="V894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12</v>
      </c>
      <c r="W894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20</v>
      </c>
      <c r="X894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8</v>
      </c>
      <c r="Y894" s="2">
        <f>SUM(QS_RV1000[[#This Row],[THE_RV1000]:[Webometrics_RV1000]])</f>
        <v>60</v>
      </c>
      <c r="Z894" s="1">
        <v>20</v>
      </c>
      <c r="AA894" s="1">
        <v>12</v>
      </c>
      <c r="AB894" s="1">
        <v>20</v>
      </c>
      <c r="AC894" s="1">
        <v>8</v>
      </c>
    </row>
    <row r="895" spans="15:29" outlineLevel="1" x14ac:dyDescent="0.45">
      <c r="O895" s="2" t="s">
        <v>501</v>
      </c>
      <c r="P895" s="2">
        <v>1</v>
      </c>
      <c r="Q895" s="2">
        <v>1</v>
      </c>
      <c r="R895" s="2">
        <v>1</v>
      </c>
      <c r="S895" s="2">
        <v>1</v>
      </c>
      <c r="T895" s="2">
        <v>4</v>
      </c>
      <c r="U895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13</v>
      </c>
      <c r="V895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10</v>
      </c>
      <c r="W895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10</v>
      </c>
      <c r="X895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29</v>
      </c>
      <c r="Y895" s="2">
        <f>SUM(QS_RV1000[[#This Row],[THE_RV1000]:[Webometrics_RV1000]])</f>
        <v>62</v>
      </c>
      <c r="Z895" s="2">
        <v>13</v>
      </c>
      <c r="AA895" s="2">
        <v>10</v>
      </c>
      <c r="AB895" s="2">
        <v>10</v>
      </c>
      <c r="AC895" s="2">
        <v>29</v>
      </c>
    </row>
    <row r="896" spans="15:29" outlineLevel="1" x14ac:dyDescent="0.45">
      <c r="O896" s="1" t="s">
        <v>83</v>
      </c>
      <c r="P896" s="1">
        <v>1</v>
      </c>
      <c r="Q896" s="1">
        <v>1</v>
      </c>
      <c r="R896" s="1">
        <v>1</v>
      </c>
      <c r="S896" s="1">
        <v>1</v>
      </c>
      <c r="T896" s="1">
        <v>4</v>
      </c>
      <c r="U896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15</v>
      </c>
      <c r="V896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14</v>
      </c>
      <c r="W896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24</v>
      </c>
      <c r="X896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10</v>
      </c>
      <c r="Y896" s="2">
        <f>SUM(QS_RV1000[[#This Row],[THE_RV1000]:[Webometrics_RV1000]])</f>
        <v>63</v>
      </c>
      <c r="Z896" s="1">
        <v>15</v>
      </c>
      <c r="AA896" s="1">
        <v>14</v>
      </c>
      <c r="AB896" s="1">
        <v>24</v>
      </c>
      <c r="AC896" s="1">
        <v>10</v>
      </c>
    </row>
    <row r="897" spans="15:29" outlineLevel="1" x14ac:dyDescent="0.45">
      <c r="O897" s="2" t="s">
        <v>796</v>
      </c>
      <c r="P897" s="2">
        <v>1</v>
      </c>
      <c r="Q897" s="2">
        <v>1</v>
      </c>
      <c r="R897" s="2">
        <v>1</v>
      </c>
      <c r="S897" s="2">
        <v>1</v>
      </c>
      <c r="T897" s="2">
        <v>4</v>
      </c>
      <c r="U897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22</v>
      </c>
      <c r="V897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18</v>
      </c>
      <c r="W897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8</v>
      </c>
      <c r="X897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15</v>
      </c>
      <c r="Y897" s="2">
        <f>SUM(QS_RV1000[[#This Row],[THE_RV1000]:[Webometrics_RV1000]])</f>
        <v>63</v>
      </c>
      <c r="Z897" s="2">
        <v>22</v>
      </c>
      <c r="AA897" s="2">
        <v>18</v>
      </c>
      <c r="AB897" s="2">
        <v>8</v>
      </c>
      <c r="AC897" s="2">
        <v>15</v>
      </c>
    </row>
    <row r="898" spans="15:29" outlineLevel="1" x14ac:dyDescent="0.45">
      <c r="O898" s="1" t="s">
        <v>67</v>
      </c>
      <c r="P898" s="1">
        <v>1</v>
      </c>
      <c r="Q898" s="1">
        <v>1</v>
      </c>
      <c r="R898" s="1">
        <v>1</v>
      </c>
      <c r="S898" s="1">
        <v>1</v>
      </c>
      <c r="T898" s="1">
        <v>4</v>
      </c>
      <c r="U898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11</v>
      </c>
      <c r="V898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20</v>
      </c>
      <c r="W898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9</v>
      </c>
      <c r="X898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30</v>
      </c>
      <c r="Y898" s="2">
        <f>SUM(QS_RV1000[[#This Row],[THE_RV1000]:[Webometrics_RV1000]])</f>
        <v>70</v>
      </c>
      <c r="Z898" s="1">
        <v>11</v>
      </c>
      <c r="AA898" s="1">
        <v>20</v>
      </c>
      <c r="AB898" s="1">
        <v>9</v>
      </c>
      <c r="AC898" s="1">
        <v>30</v>
      </c>
    </row>
    <row r="899" spans="15:29" outlineLevel="1" x14ac:dyDescent="0.45">
      <c r="O899" s="2" t="s">
        <v>54</v>
      </c>
      <c r="P899" s="2">
        <v>1</v>
      </c>
      <c r="Q899" s="2">
        <v>1</v>
      </c>
      <c r="R899" s="2">
        <v>1</v>
      </c>
      <c r="S899" s="2">
        <v>1</v>
      </c>
      <c r="T899" s="2">
        <v>4</v>
      </c>
      <c r="U899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10</v>
      </c>
      <c r="V899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23</v>
      </c>
      <c r="W899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6</v>
      </c>
      <c r="X899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35</v>
      </c>
      <c r="Y899" s="2">
        <f>SUM(QS_RV1000[[#This Row],[THE_RV1000]:[Webometrics_RV1000]])</f>
        <v>74</v>
      </c>
      <c r="Z899" s="2">
        <v>10</v>
      </c>
      <c r="AA899" s="2">
        <v>23</v>
      </c>
      <c r="AB899" s="2">
        <v>6</v>
      </c>
      <c r="AC899" s="2">
        <v>35</v>
      </c>
    </row>
    <row r="900" spans="15:29" outlineLevel="1" x14ac:dyDescent="0.45">
      <c r="O900" s="1" t="s">
        <v>31</v>
      </c>
      <c r="P900" s="1">
        <v>1</v>
      </c>
      <c r="Q900" s="1">
        <v>1</v>
      </c>
      <c r="R900" s="1">
        <v>1</v>
      </c>
      <c r="S900" s="1">
        <v>1</v>
      </c>
      <c r="T900" s="1">
        <v>4</v>
      </c>
      <c r="U900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6</v>
      </c>
      <c r="V900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9</v>
      </c>
      <c r="W900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6</v>
      </c>
      <c r="X900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59</v>
      </c>
      <c r="Y900" s="2">
        <f>SUM(QS_RV1000[[#This Row],[THE_RV1000]:[Webometrics_RV1000]])</f>
        <v>80</v>
      </c>
      <c r="Z900" s="1">
        <v>6</v>
      </c>
      <c r="AA900" s="1">
        <v>9</v>
      </c>
      <c r="AB900" s="1">
        <v>6</v>
      </c>
      <c r="AC900" s="1">
        <v>59</v>
      </c>
    </row>
    <row r="901" spans="15:29" outlineLevel="1" x14ac:dyDescent="0.45">
      <c r="O901" s="2" t="s">
        <v>89</v>
      </c>
      <c r="P901" s="2">
        <v>1</v>
      </c>
      <c r="Q901" s="2">
        <v>1</v>
      </c>
      <c r="R901" s="2">
        <v>1</v>
      </c>
      <c r="S901" s="2">
        <v>1</v>
      </c>
      <c r="T901" s="2">
        <v>4</v>
      </c>
      <c r="U901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16</v>
      </c>
      <c r="V901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26</v>
      </c>
      <c r="W901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14</v>
      </c>
      <c r="X901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24</v>
      </c>
      <c r="Y901" s="2">
        <f>SUM(QS_RV1000[[#This Row],[THE_RV1000]:[Webometrics_RV1000]])</f>
        <v>80</v>
      </c>
      <c r="Z901" s="2">
        <v>16</v>
      </c>
      <c r="AA901" s="2">
        <v>26</v>
      </c>
      <c r="AB901" s="2">
        <v>14</v>
      </c>
      <c r="AC901" s="2">
        <v>24</v>
      </c>
    </row>
    <row r="902" spans="15:29" outlineLevel="1" x14ac:dyDescent="0.45">
      <c r="O902" s="1" t="s">
        <v>133</v>
      </c>
      <c r="P902" s="1">
        <v>1</v>
      </c>
      <c r="Q902" s="1">
        <v>1</v>
      </c>
      <c r="R902" s="1">
        <v>1</v>
      </c>
      <c r="S902" s="1">
        <v>1</v>
      </c>
      <c r="T902" s="1">
        <v>4</v>
      </c>
      <c r="U902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23</v>
      </c>
      <c r="V902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28</v>
      </c>
      <c r="W902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25</v>
      </c>
      <c r="X902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6</v>
      </c>
      <c r="Y902" s="2">
        <f>SUM(QS_RV1000[[#This Row],[THE_RV1000]:[Webometrics_RV1000]])</f>
        <v>82</v>
      </c>
      <c r="Z902" s="1">
        <v>23</v>
      </c>
      <c r="AA902" s="1">
        <v>28</v>
      </c>
      <c r="AB902" s="1">
        <v>25</v>
      </c>
      <c r="AC902" s="1">
        <v>6</v>
      </c>
    </row>
    <row r="903" spans="15:29" outlineLevel="1" x14ac:dyDescent="0.45">
      <c r="O903" s="2" t="s">
        <v>102</v>
      </c>
      <c r="P903" s="2">
        <v>1</v>
      </c>
      <c r="Q903" s="2">
        <v>1</v>
      </c>
      <c r="R903" s="2">
        <v>1</v>
      </c>
      <c r="S903" s="2">
        <v>1</v>
      </c>
      <c r="T903" s="2">
        <v>4</v>
      </c>
      <c r="U903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18</v>
      </c>
      <c r="V903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22</v>
      </c>
      <c r="W903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34</v>
      </c>
      <c r="X903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16</v>
      </c>
      <c r="Y903" s="2">
        <f>SUM(QS_RV1000[[#This Row],[THE_RV1000]:[Webometrics_RV1000]])</f>
        <v>90</v>
      </c>
      <c r="Z903" s="2">
        <v>18</v>
      </c>
      <c r="AA903" s="2">
        <v>22</v>
      </c>
      <c r="AB903" s="2">
        <v>34</v>
      </c>
      <c r="AC903" s="2">
        <v>16</v>
      </c>
    </row>
    <row r="904" spans="15:29" outlineLevel="1" x14ac:dyDescent="0.45">
      <c r="O904" s="1" t="s">
        <v>795</v>
      </c>
      <c r="P904" s="1">
        <v>1</v>
      </c>
      <c r="Q904" s="1">
        <v>1</v>
      </c>
      <c r="R904" s="1">
        <v>1</v>
      </c>
      <c r="S904" s="1">
        <v>1</v>
      </c>
      <c r="T904" s="1">
        <v>4</v>
      </c>
      <c r="U904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21</v>
      </c>
      <c r="V904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13</v>
      </c>
      <c r="W904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44</v>
      </c>
      <c r="X904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13</v>
      </c>
      <c r="Y904" s="2">
        <f>SUM(QS_RV1000[[#This Row],[THE_RV1000]:[Webometrics_RV1000]])</f>
        <v>91</v>
      </c>
      <c r="Z904" s="1">
        <v>21</v>
      </c>
      <c r="AA904" s="1">
        <v>13</v>
      </c>
      <c r="AB904" s="1">
        <v>44</v>
      </c>
      <c r="AC904" s="1">
        <v>13</v>
      </c>
    </row>
    <row r="905" spans="15:29" outlineLevel="1" x14ac:dyDescent="0.45">
      <c r="O905" s="2" t="s">
        <v>97</v>
      </c>
      <c r="P905" s="2">
        <v>1</v>
      </c>
      <c r="Q905" s="2">
        <v>1</v>
      </c>
      <c r="R905" s="2">
        <v>1</v>
      </c>
      <c r="S905" s="2">
        <v>1</v>
      </c>
      <c r="T905" s="2">
        <v>4</v>
      </c>
      <c r="U905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17</v>
      </c>
      <c r="V905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34</v>
      </c>
      <c r="W905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12</v>
      </c>
      <c r="X905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32</v>
      </c>
      <c r="Y905" s="2">
        <f>SUM(QS_RV1000[[#This Row],[THE_RV1000]:[Webometrics_RV1000]])</f>
        <v>95</v>
      </c>
      <c r="Z905" s="2">
        <v>17</v>
      </c>
      <c r="AA905" s="2">
        <v>34</v>
      </c>
      <c r="AB905" s="2">
        <v>12</v>
      </c>
      <c r="AC905" s="2">
        <v>32</v>
      </c>
    </row>
    <row r="906" spans="15:29" outlineLevel="1" x14ac:dyDescent="0.45">
      <c r="O906" s="1" t="s">
        <v>151</v>
      </c>
      <c r="P906" s="1">
        <v>1</v>
      </c>
      <c r="Q906" s="1">
        <v>1</v>
      </c>
      <c r="R906" s="1">
        <v>1</v>
      </c>
      <c r="S906" s="1">
        <v>1</v>
      </c>
      <c r="T906" s="1">
        <v>4</v>
      </c>
      <c r="U906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26</v>
      </c>
      <c r="V906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30</v>
      </c>
      <c r="W906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32</v>
      </c>
      <c r="X906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22</v>
      </c>
      <c r="Y906" s="2">
        <f>SUM(QS_RV1000[[#This Row],[THE_RV1000]:[Webometrics_RV1000]])</f>
        <v>110</v>
      </c>
      <c r="Z906" s="1">
        <v>26</v>
      </c>
      <c r="AA906" s="1">
        <v>30</v>
      </c>
      <c r="AB906" s="1">
        <v>32</v>
      </c>
      <c r="AC906" s="1">
        <v>22</v>
      </c>
    </row>
    <row r="907" spans="15:29" outlineLevel="1" x14ac:dyDescent="0.45">
      <c r="O907" s="2" t="s">
        <v>139</v>
      </c>
      <c r="P907" s="2">
        <v>1</v>
      </c>
      <c r="Q907" s="2">
        <v>1</v>
      </c>
      <c r="R907" s="2">
        <v>1</v>
      </c>
      <c r="S907" s="2">
        <v>1</v>
      </c>
      <c r="T907" s="2">
        <v>4</v>
      </c>
      <c r="U907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24</v>
      </c>
      <c r="V907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25</v>
      </c>
      <c r="W907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39</v>
      </c>
      <c r="X907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23</v>
      </c>
      <c r="Y907" s="2">
        <f>SUM(QS_RV1000[[#This Row],[THE_RV1000]:[Webometrics_RV1000]])</f>
        <v>111</v>
      </c>
      <c r="Z907" s="2">
        <v>24</v>
      </c>
      <c r="AA907" s="2">
        <v>25</v>
      </c>
      <c r="AB907" s="2">
        <v>39</v>
      </c>
      <c r="AC907" s="2">
        <v>23</v>
      </c>
    </row>
    <row r="908" spans="15:29" outlineLevel="1" x14ac:dyDescent="0.45">
      <c r="O908" s="1" t="s">
        <v>797</v>
      </c>
      <c r="P908" s="1">
        <v>1</v>
      </c>
      <c r="Q908" s="1">
        <v>1</v>
      </c>
      <c r="R908" s="1">
        <v>1</v>
      </c>
      <c r="S908" s="1">
        <v>1</v>
      </c>
      <c r="T908" s="1">
        <v>4</v>
      </c>
      <c r="U908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32</v>
      </c>
      <c r="V908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21</v>
      </c>
      <c r="W908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53</v>
      </c>
      <c r="X908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17</v>
      </c>
      <c r="Y908" s="2">
        <f>SUM(QS_RV1000[[#This Row],[THE_RV1000]:[Webometrics_RV1000]])</f>
        <v>123</v>
      </c>
      <c r="Z908" s="1">
        <v>32</v>
      </c>
      <c r="AA908" s="1">
        <v>21</v>
      </c>
      <c r="AB908" s="1">
        <v>53</v>
      </c>
      <c r="AC908" s="1">
        <v>17</v>
      </c>
    </row>
    <row r="909" spans="15:29" outlineLevel="1" x14ac:dyDescent="0.45">
      <c r="O909" s="2" t="s">
        <v>169</v>
      </c>
      <c r="P909" s="2">
        <v>1</v>
      </c>
      <c r="Q909" s="2">
        <v>1</v>
      </c>
      <c r="R909" s="2">
        <v>1</v>
      </c>
      <c r="S909" s="2">
        <v>1</v>
      </c>
      <c r="T909" s="2">
        <v>4</v>
      </c>
      <c r="U909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29</v>
      </c>
      <c r="V909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35</v>
      </c>
      <c r="W909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15</v>
      </c>
      <c r="X909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44</v>
      </c>
      <c r="Y909" s="2">
        <f>SUM(QS_RV1000[[#This Row],[THE_RV1000]:[Webometrics_RV1000]])</f>
        <v>123</v>
      </c>
      <c r="Z909" s="2">
        <v>29</v>
      </c>
      <c r="AA909" s="2">
        <v>35</v>
      </c>
      <c r="AB909" s="2">
        <v>15</v>
      </c>
      <c r="AC909" s="2">
        <v>44</v>
      </c>
    </row>
    <row r="910" spans="15:29" outlineLevel="1" x14ac:dyDescent="0.45">
      <c r="O910" s="1" t="s">
        <v>145</v>
      </c>
      <c r="P910" s="1">
        <v>1</v>
      </c>
      <c r="Q910" s="1">
        <v>1</v>
      </c>
      <c r="R910" s="1">
        <v>1</v>
      </c>
      <c r="S910" s="1">
        <v>1</v>
      </c>
      <c r="T910" s="1">
        <v>4</v>
      </c>
      <c r="U910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25</v>
      </c>
      <c r="V910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31</v>
      </c>
      <c r="W910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50</v>
      </c>
      <c r="X910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21</v>
      </c>
      <c r="Y910" s="2">
        <f>SUM(QS_RV1000[[#This Row],[THE_RV1000]:[Webometrics_RV1000]])</f>
        <v>127</v>
      </c>
      <c r="Z910" s="1">
        <v>25</v>
      </c>
      <c r="AA910" s="1">
        <v>31</v>
      </c>
      <c r="AB910" s="1">
        <v>50</v>
      </c>
      <c r="AC910" s="1">
        <v>21</v>
      </c>
    </row>
    <row r="911" spans="15:29" outlineLevel="1" x14ac:dyDescent="0.45">
      <c r="O911" s="2" t="s">
        <v>157</v>
      </c>
      <c r="P911" s="2">
        <v>1</v>
      </c>
      <c r="Q911" s="2">
        <v>1</v>
      </c>
      <c r="R911" s="2">
        <v>1</v>
      </c>
      <c r="S911" s="2">
        <v>1</v>
      </c>
      <c r="T911" s="2">
        <v>4</v>
      </c>
      <c r="U911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26</v>
      </c>
      <c r="V911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17</v>
      </c>
      <c r="W911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80</v>
      </c>
      <c r="X911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7</v>
      </c>
      <c r="Y911" s="2">
        <f>SUM(QS_RV1000[[#This Row],[THE_RV1000]:[Webometrics_RV1000]])</f>
        <v>130</v>
      </c>
      <c r="Z911" s="2">
        <v>26</v>
      </c>
      <c r="AA911" s="2">
        <v>17</v>
      </c>
      <c r="AB911" s="2">
        <v>80</v>
      </c>
      <c r="AC911" s="2">
        <v>7</v>
      </c>
    </row>
    <row r="912" spans="15:29" outlineLevel="1" x14ac:dyDescent="0.45">
      <c r="O912" s="1" t="s">
        <v>194</v>
      </c>
      <c r="P912" s="1">
        <v>1</v>
      </c>
      <c r="Q912" s="1">
        <v>1</v>
      </c>
      <c r="R912" s="1">
        <v>1</v>
      </c>
      <c r="S912" s="1">
        <v>1</v>
      </c>
      <c r="T912" s="1">
        <v>4</v>
      </c>
      <c r="U912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34</v>
      </c>
      <c r="V912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32</v>
      </c>
      <c r="W912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33</v>
      </c>
      <c r="X912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40</v>
      </c>
      <c r="Y912" s="2">
        <f>SUM(QS_RV1000[[#This Row],[THE_RV1000]:[Webometrics_RV1000]])</f>
        <v>139</v>
      </c>
      <c r="Z912" s="1">
        <v>34</v>
      </c>
      <c r="AA912" s="1">
        <v>32</v>
      </c>
      <c r="AB912" s="1">
        <v>33</v>
      </c>
      <c r="AC912" s="1">
        <v>40</v>
      </c>
    </row>
    <row r="913" spans="15:29" outlineLevel="1" x14ac:dyDescent="0.45">
      <c r="O913" s="2" t="s">
        <v>110</v>
      </c>
      <c r="P913" s="2">
        <v>1</v>
      </c>
      <c r="Q913" s="2">
        <v>1</v>
      </c>
      <c r="R913" s="2">
        <v>1</v>
      </c>
      <c r="S913" s="2">
        <v>1</v>
      </c>
      <c r="T913" s="2">
        <v>4</v>
      </c>
      <c r="U913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19</v>
      </c>
      <c r="V913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71</v>
      </c>
      <c r="W913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11</v>
      </c>
      <c r="X913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47</v>
      </c>
      <c r="Y913" s="2">
        <f>SUM(QS_RV1000[[#This Row],[THE_RV1000]:[Webometrics_RV1000]])</f>
        <v>148</v>
      </c>
      <c r="Z913" s="2">
        <v>19</v>
      </c>
      <c r="AA913" s="2">
        <v>71</v>
      </c>
      <c r="AB913" s="2">
        <v>11</v>
      </c>
      <c r="AC913" s="2">
        <v>47</v>
      </c>
    </row>
    <row r="914" spans="15:29" outlineLevel="1" x14ac:dyDescent="0.45">
      <c r="O914" s="1" t="s">
        <v>854</v>
      </c>
      <c r="P914" s="1">
        <v>1</v>
      </c>
      <c r="Q914" s="1">
        <v>1</v>
      </c>
      <c r="R914" s="1">
        <v>1</v>
      </c>
      <c r="S914" s="1">
        <v>1</v>
      </c>
      <c r="T914" s="1">
        <v>4</v>
      </c>
      <c r="U914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39</v>
      </c>
      <c r="V914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24</v>
      </c>
      <c r="W914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23</v>
      </c>
      <c r="X914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66</v>
      </c>
      <c r="Y914" s="2">
        <f>SUM(QS_RV1000[[#This Row],[THE_RV1000]:[Webometrics_RV1000]])</f>
        <v>152</v>
      </c>
      <c r="Z914" s="1">
        <v>39</v>
      </c>
      <c r="AA914" s="1">
        <v>24</v>
      </c>
      <c r="AB914" s="1">
        <v>23</v>
      </c>
      <c r="AC914" s="1">
        <v>66</v>
      </c>
    </row>
    <row r="915" spans="15:29" outlineLevel="1" x14ac:dyDescent="0.45">
      <c r="O915" s="2" t="s">
        <v>225</v>
      </c>
      <c r="P915" s="2">
        <v>1</v>
      </c>
      <c r="Q915" s="2">
        <v>1</v>
      </c>
      <c r="R915" s="2">
        <v>1</v>
      </c>
      <c r="S915" s="2">
        <v>1</v>
      </c>
      <c r="T915" s="2">
        <v>4</v>
      </c>
      <c r="U915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40</v>
      </c>
      <c r="V915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44</v>
      </c>
      <c r="W915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47</v>
      </c>
      <c r="X915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27</v>
      </c>
      <c r="Y915" s="2">
        <f>SUM(QS_RV1000[[#This Row],[THE_RV1000]:[Webometrics_RV1000]])</f>
        <v>158</v>
      </c>
      <c r="Z915" s="2">
        <v>40</v>
      </c>
      <c r="AA915" s="2">
        <v>44</v>
      </c>
      <c r="AB915" s="2">
        <v>47</v>
      </c>
      <c r="AC915" s="2">
        <v>27</v>
      </c>
    </row>
    <row r="916" spans="15:29" outlineLevel="1" x14ac:dyDescent="0.45">
      <c r="O916" s="1" t="s">
        <v>296</v>
      </c>
      <c r="P916" s="1">
        <v>1</v>
      </c>
      <c r="Q916" s="1">
        <v>1</v>
      </c>
      <c r="R916" s="1">
        <v>1</v>
      </c>
      <c r="S916" s="1">
        <v>1</v>
      </c>
      <c r="T916" s="1">
        <v>4</v>
      </c>
      <c r="U916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54</v>
      </c>
      <c r="V916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38</v>
      </c>
      <c r="W916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28</v>
      </c>
      <c r="X916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61</v>
      </c>
      <c r="Y916" s="2">
        <f>SUM(QS_RV1000[[#This Row],[THE_RV1000]:[Webometrics_RV1000]])</f>
        <v>181</v>
      </c>
      <c r="Z916" s="1">
        <v>54</v>
      </c>
      <c r="AA916" s="1">
        <v>38</v>
      </c>
      <c r="AB916" s="1">
        <v>28</v>
      </c>
      <c r="AC916" s="1">
        <v>61</v>
      </c>
    </row>
    <row r="917" spans="15:29" outlineLevel="1" x14ac:dyDescent="0.45">
      <c r="O917" s="2" t="s">
        <v>276</v>
      </c>
      <c r="P917" s="2">
        <v>1</v>
      </c>
      <c r="Q917" s="2">
        <v>1</v>
      </c>
      <c r="R917" s="2">
        <v>1</v>
      </c>
      <c r="S917" s="2">
        <v>1</v>
      </c>
      <c r="T917" s="2">
        <v>4</v>
      </c>
      <c r="U917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50</v>
      </c>
      <c r="V917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37</v>
      </c>
      <c r="W917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72</v>
      </c>
      <c r="X917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25</v>
      </c>
      <c r="Y917" s="2">
        <f>SUM(QS_RV1000[[#This Row],[THE_RV1000]:[Webometrics_RV1000]])</f>
        <v>184</v>
      </c>
      <c r="Z917" s="2">
        <v>50</v>
      </c>
      <c r="AA917" s="2">
        <v>37</v>
      </c>
      <c r="AB917" s="2">
        <v>72</v>
      </c>
      <c r="AC917" s="2">
        <v>25</v>
      </c>
    </row>
    <row r="918" spans="15:29" outlineLevel="1" x14ac:dyDescent="0.45">
      <c r="O918" s="1" t="s">
        <v>199</v>
      </c>
      <c r="P918" s="1">
        <v>1</v>
      </c>
      <c r="Q918" s="1">
        <v>1</v>
      </c>
      <c r="R918" s="1">
        <v>1</v>
      </c>
      <c r="S918" s="1">
        <v>1</v>
      </c>
      <c r="T918" s="1">
        <v>4</v>
      </c>
      <c r="U918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35</v>
      </c>
      <c r="V918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48</v>
      </c>
      <c r="W918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37</v>
      </c>
      <c r="X918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67</v>
      </c>
      <c r="Y918" s="2">
        <f>SUM(QS_RV1000[[#This Row],[THE_RV1000]:[Webometrics_RV1000]])</f>
        <v>187</v>
      </c>
      <c r="Z918" s="1">
        <v>35</v>
      </c>
      <c r="AA918" s="1">
        <v>48</v>
      </c>
      <c r="AB918" s="1">
        <v>37</v>
      </c>
      <c r="AC918" s="1">
        <v>67</v>
      </c>
    </row>
    <row r="919" spans="15:29" outlineLevel="1" x14ac:dyDescent="0.45">
      <c r="O919" s="2" t="s">
        <v>816</v>
      </c>
      <c r="P919" s="2">
        <v>1</v>
      </c>
      <c r="Q919" s="2">
        <v>1</v>
      </c>
      <c r="R919" s="2">
        <v>1</v>
      </c>
      <c r="S919" s="2">
        <v>1</v>
      </c>
      <c r="T919" s="2">
        <v>4</v>
      </c>
      <c r="U919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53</v>
      </c>
      <c r="V919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47</v>
      </c>
      <c r="W919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50</v>
      </c>
      <c r="X919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52</v>
      </c>
      <c r="Y919" s="2">
        <f>SUM(QS_RV1000[[#This Row],[THE_RV1000]:[Webometrics_RV1000]])</f>
        <v>202</v>
      </c>
      <c r="Z919" s="2">
        <v>53</v>
      </c>
      <c r="AA919" s="2">
        <v>47</v>
      </c>
      <c r="AB919" s="2">
        <v>50</v>
      </c>
      <c r="AC919" s="2">
        <v>52</v>
      </c>
    </row>
    <row r="920" spans="15:29" outlineLevel="1" x14ac:dyDescent="0.45">
      <c r="O920" s="1" t="s">
        <v>572</v>
      </c>
      <c r="P920" s="1">
        <v>1</v>
      </c>
      <c r="Q920" s="1">
        <v>1</v>
      </c>
      <c r="R920" s="1">
        <v>1</v>
      </c>
      <c r="S920" s="1">
        <v>1</v>
      </c>
      <c r="T920" s="1">
        <v>4</v>
      </c>
      <c r="U920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54</v>
      </c>
      <c r="V920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60</v>
      </c>
      <c r="W920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41</v>
      </c>
      <c r="X920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50</v>
      </c>
      <c r="Y920" s="2">
        <f>SUM(QS_RV1000[[#This Row],[THE_RV1000]:[Webometrics_RV1000]])</f>
        <v>205</v>
      </c>
      <c r="Z920" s="1">
        <v>54</v>
      </c>
      <c r="AA920" s="1">
        <v>60</v>
      </c>
      <c r="AB920" s="1">
        <v>41</v>
      </c>
      <c r="AC920" s="1">
        <v>50</v>
      </c>
    </row>
    <row r="921" spans="15:29" outlineLevel="1" x14ac:dyDescent="0.45">
      <c r="O921" s="2" t="s">
        <v>253</v>
      </c>
      <c r="P921" s="2">
        <v>1</v>
      </c>
      <c r="Q921" s="2">
        <v>1</v>
      </c>
      <c r="R921" s="2">
        <v>1</v>
      </c>
      <c r="S921" s="2">
        <v>1</v>
      </c>
      <c r="T921" s="2">
        <v>4</v>
      </c>
      <c r="U921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46</v>
      </c>
      <c r="V921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73</v>
      </c>
      <c r="W921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31</v>
      </c>
      <c r="X921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60</v>
      </c>
      <c r="Y921" s="2">
        <f>SUM(QS_RV1000[[#This Row],[THE_RV1000]:[Webometrics_RV1000]])</f>
        <v>210</v>
      </c>
      <c r="Z921" s="2">
        <v>46</v>
      </c>
      <c r="AA921" s="2">
        <v>73</v>
      </c>
      <c r="AB921" s="2">
        <v>31</v>
      </c>
      <c r="AC921" s="2">
        <v>60</v>
      </c>
    </row>
    <row r="922" spans="15:29" outlineLevel="1" x14ac:dyDescent="0.45">
      <c r="O922" s="1" t="s">
        <v>355</v>
      </c>
      <c r="P922" s="1">
        <v>1</v>
      </c>
      <c r="Q922" s="1">
        <v>1</v>
      </c>
      <c r="R922" s="1">
        <v>1</v>
      </c>
      <c r="S922" s="1">
        <v>1</v>
      </c>
      <c r="T922" s="1">
        <v>4</v>
      </c>
      <c r="U922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67</v>
      </c>
      <c r="V922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36</v>
      </c>
      <c r="W922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42</v>
      </c>
      <c r="X922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68</v>
      </c>
      <c r="Y922" s="2">
        <f>SUM(QS_RV1000[[#This Row],[THE_RV1000]:[Webometrics_RV1000]])</f>
        <v>213</v>
      </c>
      <c r="Z922" s="1">
        <v>67</v>
      </c>
      <c r="AA922" s="1">
        <v>36</v>
      </c>
      <c r="AB922" s="1">
        <v>42</v>
      </c>
      <c r="AC922" s="1">
        <v>68</v>
      </c>
    </row>
    <row r="923" spans="15:29" outlineLevel="1" x14ac:dyDescent="0.45">
      <c r="O923" s="2" t="s">
        <v>266</v>
      </c>
      <c r="P923" s="2">
        <v>1</v>
      </c>
      <c r="Q923" s="2">
        <v>1</v>
      </c>
      <c r="R923" s="2">
        <v>1</v>
      </c>
      <c r="S923" s="2">
        <v>1</v>
      </c>
      <c r="T923" s="2">
        <v>4</v>
      </c>
      <c r="U923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48</v>
      </c>
      <c r="V923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49</v>
      </c>
      <c r="W923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85</v>
      </c>
      <c r="X923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33</v>
      </c>
      <c r="Y923" s="2">
        <f>SUM(QS_RV1000[[#This Row],[THE_RV1000]:[Webometrics_RV1000]])</f>
        <v>215</v>
      </c>
      <c r="Z923" s="2">
        <v>48</v>
      </c>
      <c r="AA923" s="2">
        <v>49</v>
      </c>
      <c r="AB923" s="2">
        <v>85</v>
      </c>
      <c r="AC923" s="2">
        <v>33</v>
      </c>
    </row>
    <row r="924" spans="15:29" outlineLevel="1" x14ac:dyDescent="0.45">
      <c r="O924" s="1" t="s">
        <v>412</v>
      </c>
      <c r="P924" s="1">
        <v>1</v>
      </c>
      <c r="Q924" s="1">
        <v>1</v>
      </c>
      <c r="R924" s="1">
        <v>1</v>
      </c>
      <c r="S924" s="1">
        <v>1</v>
      </c>
      <c r="T924" s="1">
        <v>4</v>
      </c>
      <c r="U924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81</v>
      </c>
      <c r="V924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33</v>
      </c>
      <c r="W924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83</v>
      </c>
      <c r="X924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20</v>
      </c>
      <c r="Y924" s="2">
        <f>SUM(QS_RV1000[[#This Row],[THE_RV1000]:[Webometrics_RV1000]])</f>
        <v>217</v>
      </c>
      <c r="Z924" s="1">
        <v>81</v>
      </c>
      <c r="AA924" s="1">
        <v>33</v>
      </c>
      <c r="AB924" s="1">
        <v>83</v>
      </c>
      <c r="AC924" s="1">
        <v>20</v>
      </c>
    </row>
    <row r="925" spans="15:29" outlineLevel="1" x14ac:dyDescent="0.45">
      <c r="O925" s="2" t="s">
        <v>286</v>
      </c>
      <c r="P925" s="2">
        <v>1</v>
      </c>
      <c r="Q925" s="2">
        <v>1</v>
      </c>
      <c r="R925" s="2">
        <v>1</v>
      </c>
      <c r="S925" s="2">
        <v>1</v>
      </c>
      <c r="T925" s="2">
        <v>4</v>
      </c>
      <c r="U925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52</v>
      </c>
      <c r="V925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54</v>
      </c>
      <c r="W925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46</v>
      </c>
      <c r="X925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69</v>
      </c>
      <c r="Y925" s="2">
        <f>SUM(QS_RV1000[[#This Row],[THE_RV1000]:[Webometrics_RV1000]])</f>
        <v>221</v>
      </c>
      <c r="Z925" s="2">
        <v>52</v>
      </c>
      <c r="AA925" s="2">
        <v>54</v>
      </c>
      <c r="AB925" s="2">
        <v>46</v>
      </c>
      <c r="AC925" s="2">
        <v>69</v>
      </c>
    </row>
    <row r="926" spans="15:29" outlineLevel="1" x14ac:dyDescent="0.45">
      <c r="O926" s="1" t="s">
        <v>810</v>
      </c>
      <c r="P926" s="1">
        <v>1</v>
      </c>
      <c r="Q926" s="1">
        <v>1</v>
      </c>
      <c r="R926" s="1">
        <v>1</v>
      </c>
      <c r="S926" s="1">
        <v>1</v>
      </c>
      <c r="T926" s="1">
        <v>4</v>
      </c>
      <c r="U926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71</v>
      </c>
      <c r="V926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64</v>
      </c>
      <c r="W926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45</v>
      </c>
      <c r="X926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41</v>
      </c>
      <c r="Y926" s="2">
        <f>SUM(QS_RV1000[[#This Row],[THE_RV1000]:[Webometrics_RV1000]])</f>
        <v>221</v>
      </c>
      <c r="Z926" s="1">
        <v>71</v>
      </c>
      <c r="AA926" s="1">
        <v>64</v>
      </c>
      <c r="AB926" s="1">
        <v>45</v>
      </c>
      <c r="AC926" s="1">
        <v>41</v>
      </c>
    </row>
    <row r="927" spans="15:29" outlineLevel="1" x14ac:dyDescent="0.45">
      <c r="O927" s="2" t="s">
        <v>179</v>
      </c>
      <c r="P927" s="2">
        <v>1</v>
      </c>
      <c r="Q927" s="2">
        <v>1</v>
      </c>
      <c r="R927" s="2">
        <v>1</v>
      </c>
      <c r="S927" s="2">
        <v>1</v>
      </c>
      <c r="T927" s="2">
        <v>4</v>
      </c>
      <c r="U927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31</v>
      </c>
      <c r="V927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96</v>
      </c>
      <c r="W927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21</v>
      </c>
      <c r="X927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75</v>
      </c>
      <c r="Y927" s="2">
        <f>SUM(QS_RV1000[[#This Row],[THE_RV1000]:[Webometrics_RV1000]])</f>
        <v>223</v>
      </c>
      <c r="Z927" s="2">
        <v>31</v>
      </c>
      <c r="AA927" s="2">
        <v>96</v>
      </c>
      <c r="AB927" s="2">
        <v>21</v>
      </c>
      <c r="AC927" s="2">
        <v>75</v>
      </c>
    </row>
    <row r="928" spans="15:29" outlineLevel="1" x14ac:dyDescent="0.45">
      <c r="O928" s="1" t="s">
        <v>614</v>
      </c>
      <c r="P928" s="1">
        <v>1</v>
      </c>
      <c r="Q928" s="1">
        <v>1</v>
      </c>
      <c r="R928" s="1">
        <v>1</v>
      </c>
      <c r="S928" s="1">
        <v>1</v>
      </c>
      <c r="T928" s="1">
        <v>4</v>
      </c>
      <c r="U928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36</v>
      </c>
      <c r="V928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88</v>
      </c>
      <c r="W928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19</v>
      </c>
      <c r="X928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87</v>
      </c>
      <c r="Y928" s="2">
        <f>SUM(QS_RV1000[[#This Row],[THE_RV1000]:[Webometrics_RV1000]])</f>
        <v>230</v>
      </c>
      <c r="Z928" s="1">
        <v>36</v>
      </c>
      <c r="AA928" s="1">
        <v>88</v>
      </c>
      <c r="AB928" s="1">
        <v>19</v>
      </c>
      <c r="AC928" s="1">
        <v>87</v>
      </c>
    </row>
    <row r="929" spans="15:29" outlineLevel="1" x14ac:dyDescent="0.45">
      <c r="O929" s="2" t="s">
        <v>245</v>
      </c>
      <c r="P929" s="2">
        <v>1</v>
      </c>
      <c r="Q929" s="2">
        <v>1</v>
      </c>
      <c r="R929" s="2">
        <v>1</v>
      </c>
      <c r="S929" s="2">
        <v>1</v>
      </c>
      <c r="T929" s="2">
        <v>4</v>
      </c>
      <c r="U929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44</v>
      </c>
      <c r="V929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75</v>
      </c>
      <c r="W929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57</v>
      </c>
      <c r="X929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57</v>
      </c>
      <c r="Y929" s="2">
        <f>SUM(QS_RV1000[[#This Row],[THE_RV1000]:[Webometrics_RV1000]])</f>
        <v>233</v>
      </c>
      <c r="Z929" s="2">
        <v>44</v>
      </c>
      <c r="AA929" s="2">
        <v>75</v>
      </c>
      <c r="AB929" s="2">
        <v>57</v>
      </c>
      <c r="AC929" s="2">
        <v>57</v>
      </c>
    </row>
    <row r="930" spans="15:29" outlineLevel="1" x14ac:dyDescent="0.45">
      <c r="O930" s="1" t="s">
        <v>337</v>
      </c>
      <c r="P930" s="1">
        <v>1</v>
      </c>
      <c r="Q930" s="1">
        <v>1</v>
      </c>
      <c r="R930" s="1">
        <v>1</v>
      </c>
      <c r="S930" s="1">
        <v>1</v>
      </c>
      <c r="T930" s="1">
        <v>4</v>
      </c>
      <c r="U930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62</v>
      </c>
      <c r="V930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79</v>
      </c>
      <c r="W930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30</v>
      </c>
      <c r="X930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79</v>
      </c>
      <c r="Y930" s="2">
        <f>SUM(QS_RV1000[[#This Row],[THE_RV1000]:[Webometrics_RV1000]])</f>
        <v>250</v>
      </c>
      <c r="Z930" s="1">
        <v>62</v>
      </c>
      <c r="AA930" s="1">
        <v>79</v>
      </c>
      <c r="AB930" s="1">
        <v>30</v>
      </c>
      <c r="AC930" s="1">
        <v>79</v>
      </c>
    </row>
    <row r="931" spans="15:29" outlineLevel="1" x14ac:dyDescent="0.45">
      <c r="O931" s="2" t="s">
        <v>306</v>
      </c>
      <c r="P931" s="2">
        <v>1</v>
      </c>
      <c r="Q931" s="2">
        <v>1</v>
      </c>
      <c r="R931" s="2">
        <v>1</v>
      </c>
      <c r="S931" s="2">
        <v>1</v>
      </c>
      <c r="T931" s="2">
        <v>4</v>
      </c>
      <c r="U931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56</v>
      </c>
      <c r="V931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98</v>
      </c>
      <c r="W931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29</v>
      </c>
      <c r="X931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96</v>
      </c>
      <c r="Y931" s="2">
        <f>SUM(QS_RV1000[[#This Row],[THE_RV1000]:[Webometrics_RV1000]])</f>
        <v>279</v>
      </c>
      <c r="Z931" s="2">
        <v>56</v>
      </c>
      <c r="AA931" s="2">
        <v>98</v>
      </c>
      <c r="AB931" s="2">
        <v>29</v>
      </c>
      <c r="AC931" s="2">
        <v>96</v>
      </c>
    </row>
    <row r="932" spans="15:29" outlineLevel="1" x14ac:dyDescent="0.45">
      <c r="O932" s="1" t="s">
        <v>332</v>
      </c>
      <c r="P932" s="1">
        <v>1</v>
      </c>
      <c r="Q932" s="1">
        <v>1</v>
      </c>
      <c r="R932" s="1">
        <v>1</v>
      </c>
      <c r="S932" s="1">
        <v>1</v>
      </c>
      <c r="T932" s="1">
        <v>4</v>
      </c>
      <c r="U932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61</v>
      </c>
      <c r="V932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99</v>
      </c>
      <c r="W932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63</v>
      </c>
      <c r="X932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80</v>
      </c>
      <c r="Y932" s="2">
        <f>SUM(QS_RV1000[[#This Row],[THE_RV1000]:[Webometrics_RV1000]])</f>
        <v>303</v>
      </c>
      <c r="Z932" s="1">
        <v>61</v>
      </c>
      <c r="AA932" s="1">
        <v>99</v>
      </c>
      <c r="AB932" s="1">
        <v>63</v>
      </c>
      <c r="AC932" s="1">
        <v>80</v>
      </c>
    </row>
    <row r="933" spans="15:29" outlineLevel="1" x14ac:dyDescent="0.45">
      <c r="O933" s="2" t="s">
        <v>425</v>
      </c>
      <c r="P933" s="2">
        <v>1</v>
      </c>
      <c r="Q933" s="2">
        <v>1</v>
      </c>
      <c r="R933" s="2">
        <v>1</v>
      </c>
      <c r="S933" s="2">
        <v>1</v>
      </c>
      <c r="T933" s="2">
        <v>4</v>
      </c>
      <c r="U933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82</v>
      </c>
      <c r="V933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59</v>
      </c>
      <c r="W933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83</v>
      </c>
      <c r="X933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92</v>
      </c>
      <c r="Y933" s="2">
        <f>SUM(QS_RV1000[[#This Row],[THE_RV1000]:[Webometrics_RV1000]])</f>
        <v>316</v>
      </c>
      <c r="Z933" s="2">
        <v>82</v>
      </c>
      <c r="AA933" s="2">
        <v>59</v>
      </c>
      <c r="AB933" s="2">
        <v>83</v>
      </c>
      <c r="AC933" s="2">
        <v>92</v>
      </c>
    </row>
    <row r="934" spans="15:29" outlineLevel="1" x14ac:dyDescent="0.45">
      <c r="O934" s="1" t="s">
        <v>385</v>
      </c>
      <c r="P934" s="1">
        <v>1</v>
      </c>
      <c r="Q934" s="1">
        <v>1</v>
      </c>
      <c r="R934" s="1">
        <v>1</v>
      </c>
      <c r="S934" s="1">
        <v>1</v>
      </c>
      <c r="T934" s="1">
        <v>4</v>
      </c>
      <c r="U934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74</v>
      </c>
      <c r="V934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62</v>
      </c>
      <c r="W934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94</v>
      </c>
      <c r="X934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95</v>
      </c>
      <c r="Y934" s="2">
        <f>SUM(QS_RV1000[[#This Row],[THE_RV1000]:[Webometrics_RV1000]])</f>
        <v>325</v>
      </c>
      <c r="Z934" s="1">
        <v>74</v>
      </c>
      <c r="AA934" s="1">
        <v>62</v>
      </c>
      <c r="AB934" s="1">
        <v>94</v>
      </c>
      <c r="AC934" s="1">
        <v>95</v>
      </c>
    </row>
    <row r="935" spans="15:29" outlineLevel="1" x14ac:dyDescent="0.45">
      <c r="O935" s="2" t="s">
        <v>663</v>
      </c>
      <c r="P935" s="2">
        <v>1</v>
      </c>
      <c r="Q935" s="2">
        <v>1</v>
      </c>
      <c r="R935" s="2">
        <v>1</v>
      </c>
      <c r="S935" s="2">
        <v>0</v>
      </c>
      <c r="T935" s="2">
        <v>3</v>
      </c>
      <c r="U935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47</v>
      </c>
      <c r="V935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40</v>
      </c>
      <c r="W935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26</v>
      </c>
      <c r="X935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250</v>
      </c>
      <c r="Y935" s="2">
        <f>SUM(QS_RV1000[[#This Row],[THE_RV1000]:[Webometrics_RV1000]])</f>
        <v>363</v>
      </c>
      <c r="Z935" s="2">
        <v>47</v>
      </c>
      <c r="AA935" s="2">
        <v>40</v>
      </c>
      <c r="AB935" s="2">
        <v>26</v>
      </c>
      <c r="AC935" s="2">
        <v>0</v>
      </c>
    </row>
    <row r="936" spans="15:29" outlineLevel="1" x14ac:dyDescent="0.45">
      <c r="O936" s="1" t="s">
        <v>162</v>
      </c>
      <c r="P936" s="1">
        <v>1</v>
      </c>
      <c r="Q936" s="1">
        <v>0</v>
      </c>
      <c r="R936" s="1">
        <v>1</v>
      </c>
      <c r="S936" s="1">
        <v>1</v>
      </c>
      <c r="T936" s="1">
        <v>3</v>
      </c>
      <c r="U936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28</v>
      </c>
      <c r="V936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250</v>
      </c>
      <c r="W936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52</v>
      </c>
      <c r="X936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49</v>
      </c>
      <c r="Y936" s="2">
        <f>SUM(QS_RV1000[[#This Row],[THE_RV1000]:[Webometrics_RV1000]])</f>
        <v>379</v>
      </c>
      <c r="Z936" s="1">
        <v>28</v>
      </c>
      <c r="AA936" s="1">
        <v>0</v>
      </c>
      <c r="AB936" s="1">
        <v>52</v>
      </c>
      <c r="AC936" s="1">
        <v>49</v>
      </c>
    </row>
    <row r="937" spans="15:29" outlineLevel="1" x14ac:dyDescent="0.45">
      <c r="O937" s="2" t="s">
        <v>173</v>
      </c>
      <c r="P937" s="2">
        <v>1</v>
      </c>
      <c r="Q937" s="2">
        <v>1</v>
      </c>
      <c r="R937" s="2">
        <v>1</v>
      </c>
      <c r="S937" s="2">
        <v>0</v>
      </c>
      <c r="T937" s="2">
        <v>3</v>
      </c>
      <c r="U937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30</v>
      </c>
      <c r="V937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56</v>
      </c>
      <c r="W937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49</v>
      </c>
      <c r="X937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250</v>
      </c>
      <c r="Y937" s="2">
        <f>SUM(QS_RV1000[[#This Row],[THE_RV1000]:[Webometrics_RV1000]])</f>
        <v>385</v>
      </c>
      <c r="Z937" s="2">
        <v>30</v>
      </c>
      <c r="AA937" s="2">
        <v>56</v>
      </c>
      <c r="AB937" s="2">
        <v>49</v>
      </c>
      <c r="AC937" s="2">
        <v>0</v>
      </c>
    </row>
    <row r="938" spans="15:29" outlineLevel="1" x14ac:dyDescent="0.45">
      <c r="O938" s="1" t="s">
        <v>360</v>
      </c>
      <c r="P938" s="1">
        <v>1</v>
      </c>
      <c r="Q938" s="1">
        <v>1</v>
      </c>
      <c r="R938" s="1">
        <v>1</v>
      </c>
      <c r="S938" s="1">
        <v>0</v>
      </c>
      <c r="T938" s="1">
        <v>3</v>
      </c>
      <c r="U938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68</v>
      </c>
      <c r="V938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41</v>
      </c>
      <c r="W938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36</v>
      </c>
      <c r="X938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250</v>
      </c>
      <c r="Y938" s="2">
        <f>SUM(QS_RV1000[[#This Row],[THE_RV1000]:[Webometrics_RV1000]])</f>
        <v>395</v>
      </c>
      <c r="Z938" s="1">
        <v>68</v>
      </c>
      <c r="AA938" s="1">
        <v>41</v>
      </c>
      <c r="AB938" s="1">
        <v>36</v>
      </c>
      <c r="AC938" s="1">
        <v>0</v>
      </c>
    </row>
    <row r="939" spans="15:29" outlineLevel="1" x14ac:dyDescent="0.45">
      <c r="O939" s="2" t="s">
        <v>230</v>
      </c>
      <c r="P939" s="2">
        <v>1</v>
      </c>
      <c r="Q939" s="2">
        <v>0</v>
      </c>
      <c r="R939" s="2">
        <v>1</v>
      </c>
      <c r="S939" s="2">
        <v>1</v>
      </c>
      <c r="T939" s="2">
        <v>3</v>
      </c>
      <c r="U939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41</v>
      </c>
      <c r="V939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250</v>
      </c>
      <c r="W939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16</v>
      </c>
      <c r="X939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90</v>
      </c>
      <c r="Y939" s="2">
        <f>SUM(QS_RV1000[[#This Row],[THE_RV1000]:[Webometrics_RV1000]])</f>
        <v>397</v>
      </c>
      <c r="Z939" s="2">
        <v>41</v>
      </c>
      <c r="AA939" s="2">
        <v>0</v>
      </c>
      <c r="AB939" s="2">
        <v>16</v>
      </c>
      <c r="AC939" s="2">
        <v>90</v>
      </c>
    </row>
    <row r="940" spans="15:29" outlineLevel="1" x14ac:dyDescent="0.45">
      <c r="O940" s="1" t="s">
        <v>282</v>
      </c>
      <c r="P940" s="1">
        <v>1</v>
      </c>
      <c r="Q940" s="1">
        <v>1</v>
      </c>
      <c r="R940" s="1">
        <v>1</v>
      </c>
      <c r="S940" s="1">
        <v>0</v>
      </c>
      <c r="T940" s="1">
        <v>3</v>
      </c>
      <c r="U940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51</v>
      </c>
      <c r="V940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67</v>
      </c>
      <c r="W940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34</v>
      </c>
      <c r="X940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250</v>
      </c>
      <c r="Y940" s="2">
        <f>SUM(QS_RV1000[[#This Row],[THE_RV1000]:[Webometrics_RV1000]])</f>
        <v>402</v>
      </c>
      <c r="Z940" s="1">
        <v>51</v>
      </c>
      <c r="AA940" s="1">
        <v>67</v>
      </c>
      <c r="AB940" s="1">
        <v>34</v>
      </c>
      <c r="AC940" s="1">
        <v>0</v>
      </c>
    </row>
    <row r="941" spans="15:29" outlineLevel="1" x14ac:dyDescent="0.45">
      <c r="O941" s="2" t="s">
        <v>250</v>
      </c>
      <c r="P941" s="2">
        <v>1</v>
      </c>
      <c r="Q941" s="2">
        <v>0</v>
      </c>
      <c r="R941" s="2">
        <v>1</v>
      </c>
      <c r="S941" s="2">
        <v>1</v>
      </c>
      <c r="T941" s="2">
        <v>3</v>
      </c>
      <c r="U941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45</v>
      </c>
      <c r="V941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250</v>
      </c>
      <c r="W941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38</v>
      </c>
      <c r="X941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81</v>
      </c>
      <c r="Y941" s="2">
        <f>SUM(QS_RV1000[[#This Row],[THE_RV1000]:[Webometrics_RV1000]])</f>
        <v>414</v>
      </c>
      <c r="Z941" s="2">
        <v>45</v>
      </c>
      <c r="AA941" s="2">
        <v>0</v>
      </c>
      <c r="AB941" s="2">
        <v>38</v>
      </c>
      <c r="AC941" s="2">
        <v>81</v>
      </c>
    </row>
    <row r="942" spans="15:29" outlineLevel="1" x14ac:dyDescent="0.45">
      <c r="O942" s="1" t="s">
        <v>456</v>
      </c>
      <c r="P942" s="1">
        <v>1</v>
      </c>
      <c r="Q942" s="1">
        <v>1</v>
      </c>
      <c r="R942" s="1">
        <v>1</v>
      </c>
      <c r="S942" s="1">
        <v>0</v>
      </c>
      <c r="T942" s="1">
        <v>3</v>
      </c>
      <c r="U942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93</v>
      </c>
      <c r="V942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16</v>
      </c>
      <c r="W942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69</v>
      </c>
      <c r="X942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250</v>
      </c>
      <c r="Y942" s="2">
        <f>SUM(QS_RV1000[[#This Row],[THE_RV1000]:[Webometrics_RV1000]])</f>
        <v>428</v>
      </c>
      <c r="Z942" s="1">
        <v>93</v>
      </c>
      <c r="AA942" s="1">
        <v>16</v>
      </c>
      <c r="AB942" s="1">
        <v>69</v>
      </c>
      <c r="AC942" s="1">
        <v>0</v>
      </c>
    </row>
    <row r="943" spans="15:29" outlineLevel="1" x14ac:dyDescent="0.45">
      <c r="O943" s="2" t="s">
        <v>216</v>
      </c>
      <c r="P943" s="2">
        <v>1</v>
      </c>
      <c r="Q943" s="2">
        <v>0</v>
      </c>
      <c r="R943" s="2">
        <v>1</v>
      </c>
      <c r="S943" s="2">
        <v>1</v>
      </c>
      <c r="T943" s="2">
        <v>3</v>
      </c>
      <c r="U943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38</v>
      </c>
      <c r="V943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250</v>
      </c>
      <c r="W943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88</v>
      </c>
      <c r="X943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62</v>
      </c>
      <c r="Y943" s="2">
        <f>SUM(QS_RV1000[[#This Row],[THE_RV1000]:[Webometrics_RV1000]])</f>
        <v>438</v>
      </c>
      <c r="Z943" s="2">
        <v>38</v>
      </c>
      <c r="AA943" s="2">
        <v>0</v>
      </c>
      <c r="AB943" s="2">
        <v>88</v>
      </c>
      <c r="AC943" s="2">
        <v>62</v>
      </c>
    </row>
    <row r="944" spans="15:29" outlineLevel="1" x14ac:dyDescent="0.45">
      <c r="O944" s="1" t="s">
        <v>326</v>
      </c>
      <c r="P944" s="1">
        <v>1</v>
      </c>
      <c r="Q944" s="1">
        <v>0</v>
      </c>
      <c r="R944" s="1">
        <v>1</v>
      </c>
      <c r="S944" s="1">
        <v>1</v>
      </c>
      <c r="T944" s="1">
        <v>3</v>
      </c>
      <c r="U944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60</v>
      </c>
      <c r="V944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250</v>
      </c>
      <c r="W944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58</v>
      </c>
      <c r="X944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73</v>
      </c>
      <c r="Y944" s="2">
        <f>SUM(QS_RV1000[[#This Row],[THE_RV1000]:[Webometrics_RV1000]])</f>
        <v>441</v>
      </c>
      <c r="Z944" s="1">
        <v>60</v>
      </c>
      <c r="AA944" s="1">
        <v>0</v>
      </c>
      <c r="AB944" s="1">
        <v>58</v>
      </c>
      <c r="AC944" s="1">
        <v>73</v>
      </c>
    </row>
    <row r="945" spans="15:29" outlineLevel="1" x14ac:dyDescent="0.45">
      <c r="O945" s="2" t="s">
        <v>446</v>
      </c>
      <c r="P945" s="2">
        <v>1</v>
      </c>
      <c r="Q945" s="2">
        <v>1</v>
      </c>
      <c r="R945" s="2">
        <v>1</v>
      </c>
      <c r="S945" s="2">
        <v>0</v>
      </c>
      <c r="T945" s="2">
        <v>3</v>
      </c>
      <c r="U945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90</v>
      </c>
      <c r="V945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43</v>
      </c>
      <c r="W945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60</v>
      </c>
      <c r="X945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250</v>
      </c>
      <c r="Y945" s="2">
        <f>SUM(QS_RV1000[[#This Row],[THE_RV1000]:[Webometrics_RV1000]])</f>
        <v>443</v>
      </c>
      <c r="Z945" s="2">
        <v>90</v>
      </c>
      <c r="AA945" s="2">
        <v>43</v>
      </c>
      <c r="AB945" s="2">
        <v>60</v>
      </c>
      <c r="AC945" s="2">
        <v>0</v>
      </c>
    </row>
    <row r="946" spans="15:29" outlineLevel="1" x14ac:dyDescent="0.45">
      <c r="O946" s="1" t="s">
        <v>545</v>
      </c>
      <c r="P946" s="1">
        <v>0</v>
      </c>
      <c r="Q946" s="1">
        <v>1</v>
      </c>
      <c r="R946" s="1">
        <v>1</v>
      </c>
      <c r="S946" s="1">
        <v>1</v>
      </c>
      <c r="T946" s="1">
        <v>3</v>
      </c>
      <c r="U946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250</v>
      </c>
      <c r="V946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39</v>
      </c>
      <c r="W946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82</v>
      </c>
      <c r="X946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74</v>
      </c>
      <c r="Y946" s="2">
        <f>SUM(QS_RV1000[[#This Row],[THE_RV1000]:[Webometrics_RV1000]])</f>
        <v>445</v>
      </c>
      <c r="Z946" s="1">
        <v>0</v>
      </c>
      <c r="AA946" s="1">
        <v>39</v>
      </c>
      <c r="AB946" s="1">
        <v>82</v>
      </c>
      <c r="AC946" s="1">
        <v>74</v>
      </c>
    </row>
    <row r="947" spans="15:29" outlineLevel="1" x14ac:dyDescent="0.45">
      <c r="O947" s="2" t="s">
        <v>234</v>
      </c>
      <c r="P947" s="2">
        <v>1</v>
      </c>
      <c r="Q947" s="2">
        <v>1</v>
      </c>
      <c r="R947" s="2">
        <v>1</v>
      </c>
      <c r="S947" s="2">
        <v>0</v>
      </c>
      <c r="T947" s="2">
        <v>3</v>
      </c>
      <c r="U947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42</v>
      </c>
      <c r="V947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95</v>
      </c>
      <c r="W947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76</v>
      </c>
      <c r="X947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250</v>
      </c>
      <c r="Y947" s="2">
        <f>SUM(QS_RV1000[[#This Row],[THE_RV1000]:[Webometrics_RV1000]])</f>
        <v>463</v>
      </c>
      <c r="Z947" s="2">
        <v>42</v>
      </c>
      <c r="AA947" s="2">
        <v>95</v>
      </c>
      <c r="AB947" s="2">
        <v>76</v>
      </c>
      <c r="AC947" s="2">
        <v>0</v>
      </c>
    </row>
    <row r="948" spans="15:29" outlineLevel="1" x14ac:dyDescent="0.45">
      <c r="O948" s="1" t="s">
        <v>392</v>
      </c>
      <c r="P948" s="1">
        <v>1</v>
      </c>
      <c r="Q948" s="1">
        <v>1</v>
      </c>
      <c r="R948" s="1">
        <v>1</v>
      </c>
      <c r="S948" s="1">
        <v>0</v>
      </c>
      <c r="T948" s="1">
        <v>3</v>
      </c>
      <c r="U948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76</v>
      </c>
      <c r="V948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81</v>
      </c>
      <c r="W948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61</v>
      </c>
      <c r="X948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250</v>
      </c>
      <c r="Y948" s="2">
        <f>SUM(QS_RV1000[[#This Row],[THE_RV1000]:[Webometrics_RV1000]])</f>
        <v>468</v>
      </c>
      <c r="Z948" s="1">
        <v>76</v>
      </c>
      <c r="AA948" s="1">
        <v>81</v>
      </c>
      <c r="AB948" s="1">
        <v>61</v>
      </c>
      <c r="AC948" s="1">
        <v>0</v>
      </c>
    </row>
    <row r="949" spans="15:29" outlineLevel="1" x14ac:dyDescent="0.45">
      <c r="O949" s="2" t="s">
        <v>369</v>
      </c>
      <c r="P949" s="2">
        <v>1</v>
      </c>
      <c r="Q949" s="2">
        <v>0</v>
      </c>
      <c r="R949" s="2">
        <v>1</v>
      </c>
      <c r="S949" s="2">
        <v>1</v>
      </c>
      <c r="T949" s="2">
        <v>3</v>
      </c>
      <c r="U949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70</v>
      </c>
      <c r="V949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250</v>
      </c>
      <c r="W949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61</v>
      </c>
      <c r="X949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94</v>
      </c>
      <c r="Y949" s="2">
        <f>SUM(QS_RV1000[[#This Row],[THE_RV1000]:[Webometrics_RV1000]])</f>
        <v>475</v>
      </c>
      <c r="Z949" s="2">
        <v>70</v>
      </c>
      <c r="AA949" s="2">
        <v>0</v>
      </c>
      <c r="AB949" s="2">
        <v>61</v>
      </c>
      <c r="AC949" s="2">
        <v>94</v>
      </c>
    </row>
    <row r="950" spans="15:29" outlineLevel="1" x14ac:dyDescent="0.45">
      <c r="O950" s="1" t="s">
        <v>474</v>
      </c>
      <c r="P950" s="1">
        <v>1</v>
      </c>
      <c r="Q950" s="1">
        <v>0</v>
      </c>
      <c r="R950" s="1">
        <v>1</v>
      </c>
      <c r="S950" s="1">
        <v>1</v>
      </c>
      <c r="T950" s="1">
        <v>3</v>
      </c>
      <c r="U950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99</v>
      </c>
      <c r="V950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250</v>
      </c>
      <c r="W950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54</v>
      </c>
      <c r="X950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89</v>
      </c>
      <c r="Y950" s="2">
        <f>SUM(QS_RV1000[[#This Row],[THE_RV1000]:[Webometrics_RV1000]])</f>
        <v>492</v>
      </c>
      <c r="Z950" s="1">
        <v>99</v>
      </c>
      <c r="AA950" s="1">
        <v>0</v>
      </c>
      <c r="AB950" s="1">
        <v>54</v>
      </c>
      <c r="AC950" s="1">
        <v>89</v>
      </c>
    </row>
    <row r="951" spans="15:29" outlineLevel="1" x14ac:dyDescent="0.45">
      <c r="O951" s="2" t="s">
        <v>190</v>
      </c>
      <c r="P951" s="2">
        <v>1</v>
      </c>
      <c r="Q951" s="2">
        <v>0</v>
      </c>
      <c r="R951" s="2">
        <v>1</v>
      </c>
      <c r="S951" s="2">
        <v>0</v>
      </c>
      <c r="T951" s="2">
        <v>2</v>
      </c>
      <c r="U951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33</v>
      </c>
      <c r="V951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250</v>
      </c>
      <c r="W951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59</v>
      </c>
      <c r="X951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250</v>
      </c>
      <c r="Y951" s="2">
        <f>SUM(QS_RV1000[[#This Row],[THE_RV1000]:[Webometrics_RV1000]])</f>
        <v>592</v>
      </c>
      <c r="Z951" s="2">
        <v>33</v>
      </c>
      <c r="AA951" s="2">
        <v>0</v>
      </c>
      <c r="AB951" s="2">
        <v>59</v>
      </c>
      <c r="AC951" s="2">
        <v>0</v>
      </c>
    </row>
    <row r="952" spans="15:29" outlineLevel="1" x14ac:dyDescent="0.45">
      <c r="O952" s="1" t="s">
        <v>211</v>
      </c>
      <c r="P952" s="1">
        <v>1</v>
      </c>
      <c r="Q952" s="1">
        <v>0</v>
      </c>
      <c r="R952" s="1">
        <v>1</v>
      </c>
      <c r="S952" s="1">
        <v>0</v>
      </c>
      <c r="T952" s="1">
        <v>2</v>
      </c>
      <c r="U952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37</v>
      </c>
      <c r="V952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250</v>
      </c>
      <c r="W952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56</v>
      </c>
      <c r="X952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250</v>
      </c>
      <c r="Y952" s="2">
        <f>SUM(QS_RV1000[[#This Row],[THE_RV1000]:[Webometrics_RV1000]])</f>
        <v>593</v>
      </c>
      <c r="Z952" s="1">
        <v>37</v>
      </c>
      <c r="AA952" s="1">
        <v>0</v>
      </c>
      <c r="AB952" s="1">
        <v>56</v>
      </c>
      <c r="AC952" s="1">
        <v>0</v>
      </c>
    </row>
    <row r="953" spans="15:29" outlineLevel="1" x14ac:dyDescent="0.45">
      <c r="O953" s="2" t="s">
        <v>319</v>
      </c>
      <c r="P953" s="2">
        <v>1</v>
      </c>
      <c r="Q953" s="2">
        <v>0</v>
      </c>
      <c r="R953" s="2">
        <v>1</v>
      </c>
      <c r="S953" s="2">
        <v>0</v>
      </c>
      <c r="T953" s="2">
        <v>2</v>
      </c>
      <c r="U953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58</v>
      </c>
      <c r="V953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250</v>
      </c>
      <c r="W953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40</v>
      </c>
      <c r="X953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250</v>
      </c>
      <c r="Y953" s="2">
        <f>SUM(QS_RV1000[[#This Row],[THE_RV1000]:[Webometrics_RV1000]])</f>
        <v>598</v>
      </c>
      <c r="Z953" s="2">
        <v>58</v>
      </c>
      <c r="AA953" s="2">
        <v>0</v>
      </c>
      <c r="AB953" s="2">
        <v>40</v>
      </c>
      <c r="AC953" s="2">
        <v>0</v>
      </c>
    </row>
    <row r="954" spans="15:29" outlineLevel="1" x14ac:dyDescent="0.45">
      <c r="O954" s="1" t="s">
        <v>239</v>
      </c>
      <c r="P954" s="1">
        <v>1</v>
      </c>
      <c r="Q954" s="1">
        <v>0</v>
      </c>
      <c r="R954" s="1">
        <v>1</v>
      </c>
      <c r="S954" s="1">
        <v>0</v>
      </c>
      <c r="T954" s="1">
        <v>2</v>
      </c>
      <c r="U954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43</v>
      </c>
      <c r="V954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250</v>
      </c>
      <c r="W954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65</v>
      </c>
      <c r="X954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250</v>
      </c>
      <c r="Y954" s="2">
        <f>SUM(QS_RV1000[[#This Row],[THE_RV1000]:[Webometrics_RV1000]])</f>
        <v>608</v>
      </c>
      <c r="Z954" s="1">
        <v>43</v>
      </c>
      <c r="AA954" s="1">
        <v>0</v>
      </c>
      <c r="AB954" s="1">
        <v>65</v>
      </c>
      <c r="AC954" s="1">
        <v>0</v>
      </c>
    </row>
    <row r="955" spans="15:29" outlineLevel="1" x14ac:dyDescent="0.45">
      <c r="O955" s="2" t="s">
        <v>765</v>
      </c>
      <c r="P955" s="2">
        <v>0</v>
      </c>
      <c r="Q955" s="2">
        <v>0</v>
      </c>
      <c r="R955" s="2">
        <v>1</v>
      </c>
      <c r="S955" s="2">
        <v>1</v>
      </c>
      <c r="T955" s="2">
        <v>2</v>
      </c>
      <c r="U955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250</v>
      </c>
      <c r="V955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250</v>
      </c>
      <c r="W955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93</v>
      </c>
      <c r="X955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19</v>
      </c>
      <c r="Y955" s="2">
        <f>SUM(QS_RV1000[[#This Row],[THE_RV1000]:[Webometrics_RV1000]])</f>
        <v>612</v>
      </c>
      <c r="Z955" s="2">
        <v>0</v>
      </c>
      <c r="AA955" s="2">
        <v>0</v>
      </c>
      <c r="AB955" s="2">
        <v>93</v>
      </c>
      <c r="AC955" s="2">
        <v>19</v>
      </c>
    </row>
    <row r="956" spans="15:29" outlineLevel="1" x14ac:dyDescent="0.45">
      <c r="O956" s="1" t="s">
        <v>689</v>
      </c>
      <c r="P956" s="1">
        <v>1</v>
      </c>
      <c r="Q956" s="1">
        <v>0</v>
      </c>
      <c r="R956" s="1">
        <v>1</v>
      </c>
      <c r="S956" s="1">
        <v>0</v>
      </c>
      <c r="T956" s="1">
        <v>2</v>
      </c>
      <c r="U956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91</v>
      </c>
      <c r="V956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250</v>
      </c>
      <c r="W956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42</v>
      </c>
      <c r="X956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250</v>
      </c>
      <c r="Y956" s="2">
        <f>SUM(QS_RV1000[[#This Row],[THE_RV1000]:[Webometrics_RV1000]])</f>
        <v>633</v>
      </c>
      <c r="Z956" s="1">
        <v>91</v>
      </c>
      <c r="AA956" s="1">
        <v>0</v>
      </c>
      <c r="AB956" s="1">
        <v>42</v>
      </c>
      <c r="AC956" s="1">
        <v>0</v>
      </c>
    </row>
    <row r="957" spans="15:29" outlineLevel="1" x14ac:dyDescent="0.45">
      <c r="O957" s="2" t="s">
        <v>466</v>
      </c>
      <c r="P957" s="2">
        <v>1</v>
      </c>
      <c r="Q957" s="2">
        <v>0</v>
      </c>
      <c r="R957" s="2">
        <v>1</v>
      </c>
      <c r="S957" s="2">
        <v>0</v>
      </c>
      <c r="T957" s="2">
        <v>2</v>
      </c>
      <c r="U957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95</v>
      </c>
      <c r="V957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250</v>
      </c>
      <c r="W957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48</v>
      </c>
      <c r="X957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250</v>
      </c>
      <c r="Y957" s="2">
        <f>SUM(QS_RV1000[[#This Row],[THE_RV1000]:[Webometrics_RV1000]])</f>
        <v>643</v>
      </c>
      <c r="Z957" s="2">
        <v>95</v>
      </c>
      <c r="AA957" s="2">
        <v>0</v>
      </c>
      <c r="AB957" s="2">
        <v>48</v>
      </c>
      <c r="AC957" s="2">
        <v>0</v>
      </c>
    </row>
    <row r="958" spans="15:29" outlineLevel="1" x14ac:dyDescent="0.45">
      <c r="O958" s="1" t="s">
        <v>403</v>
      </c>
      <c r="P958" s="1">
        <v>1</v>
      </c>
      <c r="Q958" s="1">
        <v>0</v>
      </c>
      <c r="R958" s="1">
        <v>1</v>
      </c>
      <c r="S958" s="1">
        <v>0</v>
      </c>
      <c r="T958" s="1">
        <v>2</v>
      </c>
      <c r="U958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79</v>
      </c>
      <c r="V958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250</v>
      </c>
      <c r="W958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65</v>
      </c>
      <c r="X958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250</v>
      </c>
      <c r="Y958" s="2">
        <f>SUM(QS_RV1000[[#This Row],[THE_RV1000]:[Webometrics_RV1000]])</f>
        <v>644</v>
      </c>
      <c r="Z958" s="1">
        <v>79</v>
      </c>
      <c r="AA958" s="1">
        <v>0</v>
      </c>
      <c r="AB958" s="1">
        <v>65</v>
      </c>
      <c r="AC958" s="1">
        <v>0</v>
      </c>
    </row>
    <row r="959" spans="15:29" outlineLevel="1" x14ac:dyDescent="0.45">
      <c r="O959" s="2" t="s">
        <v>732</v>
      </c>
      <c r="P959" s="2">
        <v>1</v>
      </c>
      <c r="Q959" s="2">
        <v>0</v>
      </c>
      <c r="R959" s="2">
        <v>1</v>
      </c>
      <c r="S959" s="2">
        <v>0</v>
      </c>
      <c r="T959" s="2">
        <v>2</v>
      </c>
      <c r="U959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78</v>
      </c>
      <c r="V959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250</v>
      </c>
      <c r="W959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73</v>
      </c>
      <c r="X959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250</v>
      </c>
      <c r="Y959" s="2">
        <f>SUM(QS_RV1000[[#This Row],[THE_RV1000]:[Webometrics_RV1000]])</f>
        <v>651</v>
      </c>
      <c r="Z959" s="2">
        <v>78</v>
      </c>
      <c r="AA959" s="2">
        <v>0</v>
      </c>
      <c r="AB959" s="2">
        <v>73</v>
      </c>
      <c r="AC959" s="2">
        <v>0</v>
      </c>
    </row>
    <row r="960" spans="15:29" outlineLevel="1" x14ac:dyDescent="0.45">
      <c r="O960" s="1" t="s">
        <v>420</v>
      </c>
      <c r="P960" s="1">
        <v>1</v>
      </c>
      <c r="Q960" s="1">
        <v>0</v>
      </c>
      <c r="R960" s="1">
        <v>1</v>
      </c>
      <c r="S960" s="1">
        <v>0</v>
      </c>
      <c r="T960" s="1">
        <v>2</v>
      </c>
      <c r="U960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82</v>
      </c>
      <c r="V960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250</v>
      </c>
      <c r="W960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81</v>
      </c>
      <c r="X960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250</v>
      </c>
      <c r="Y960" s="2">
        <f>SUM(QS_RV1000[[#This Row],[THE_RV1000]:[Webometrics_RV1000]])</f>
        <v>663</v>
      </c>
      <c r="Z960" s="1">
        <v>82</v>
      </c>
      <c r="AA960" s="1">
        <v>0</v>
      </c>
      <c r="AB960" s="1">
        <v>81</v>
      </c>
      <c r="AC960" s="1">
        <v>0</v>
      </c>
    </row>
    <row r="961" spans="15:29" outlineLevel="1" x14ac:dyDescent="0.45">
      <c r="O961" s="2" t="s">
        <v>749</v>
      </c>
      <c r="P961" s="2">
        <v>0</v>
      </c>
      <c r="Q961" s="2">
        <v>0</v>
      </c>
      <c r="R961" s="2">
        <v>1</v>
      </c>
      <c r="S961" s="2">
        <v>1</v>
      </c>
      <c r="T961" s="2">
        <v>2</v>
      </c>
      <c r="U961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250</v>
      </c>
      <c r="V961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250</v>
      </c>
      <c r="W961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86</v>
      </c>
      <c r="X961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88</v>
      </c>
      <c r="Y961" s="2">
        <f>SUM(QS_RV1000[[#This Row],[THE_RV1000]:[Webometrics_RV1000]])</f>
        <v>674</v>
      </c>
      <c r="Z961" s="2">
        <v>0</v>
      </c>
      <c r="AA961" s="2">
        <v>0</v>
      </c>
      <c r="AB961" s="2">
        <v>86</v>
      </c>
      <c r="AC961" s="2">
        <v>88</v>
      </c>
    </row>
    <row r="962" spans="15:29" outlineLevel="1" x14ac:dyDescent="0.45">
      <c r="O962" s="1" t="s">
        <v>622</v>
      </c>
      <c r="P962" s="1">
        <v>0</v>
      </c>
      <c r="Q962" s="1">
        <v>1</v>
      </c>
      <c r="R962" s="1">
        <v>1</v>
      </c>
      <c r="S962" s="1">
        <v>0</v>
      </c>
      <c r="T962" s="1">
        <v>2</v>
      </c>
      <c r="U962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250</v>
      </c>
      <c r="V962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99</v>
      </c>
      <c r="W962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90</v>
      </c>
      <c r="X962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250</v>
      </c>
      <c r="Y962" s="2">
        <f>SUM(QS_RV1000[[#This Row],[THE_RV1000]:[Webometrics_RV1000]])</f>
        <v>689</v>
      </c>
      <c r="Z962" s="1">
        <v>0</v>
      </c>
      <c r="AA962" s="1">
        <v>99</v>
      </c>
      <c r="AB962" s="1">
        <v>90</v>
      </c>
      <c r="AC962" s="1">
        <v>0</v>
      </c>
    </row>
    <row r="963" spans="15:29" outlineLevel="1" x14ac:dyDescent="0.45">
      <c r="O963" s="2" t="s">
        <v>705</v>
      </c>
      <c r="P963" s="2">
        <v>0</v>
      </c>
      <c r="Q963" s="2">
        <v>0</v>
      </c>
      <c r="R963" s="2">
        <v>1</v>
      </c>
      <c r="S963" s="2">
        <v>0</v>
      </c>
      <c r="T963" s="2">
        <v>1</v>
      </c>
      <c r="U963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250</v>
      </c>
      <c r="V963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250</v>
      </c>
      <c r="W963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55</v>
      </c>
      <c r="X963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250</v>
      </c>
      <c r="Y963" s="2">
        <f>SUM(QS_RV1000[[#This Row],[THE_RV1000]:[Webometrics_RV1000]])</f>
        <v>805</v>
      </c>
      <c r="Z963" s="2">
        <v>0</v>
      </c>
      <c r="AA963" s="2">
        <v>0</v>
      </c>
      <c r="AB963" s="2">
        <v>55</v>
      </c>
      <c r="AC963" s="2">
        <v>0</v>
      </c>
    </row>
    <row r="964" spans="15:29" outlineLevel="1" x14ac:dyDescent="0.45">
      <c r="O964" s="1" t="s">
        <v>715</v>
      </c>
      <c r="P964" s="1">
        <v>0</v>
      </c>
      <c r="Q964" s="1">
        <v>0</v>
      </c>
      <c r="R964" s="1">
        <v>1</v>
      </c>
      <c r="S964" s="1">
        <v>0</v>
      </c>
      <c r="T964" s="1">
        <v>1</v>
      </c>
      <c r="U964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250</v>
      </c>
      <c r="V964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250</v>
      </c>
      <c r="W964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64</v>
      </c>
      <c r="X964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250</v>
      </c>
      <c r="Y964" s="2">
        <f>SUM(QS_RV1000[[#This Row],[THE_RV1000]:[Webometrics_RV1000]])</f>
        <v>814</v>
      </c>
      <c r="Z964" s="1">
        <v>0</v>
      </c>
      <c r="AA964" s="1">
        <v>0</v>
      </c>
      <c r="AB964" s="1">
        <v>64</v>
      </c>
      <c r="AC964" s="1">
        <v>0</v>
      </c>
    </row>
    <row r="965" spans="15:29" outlineLevel="1" x14ac:dyDescent="0.45">
      <c r="O965" s="2" t="s">
        <v>720</v>
      </c>
      <c r="P965" s="2">
        <v>0</v>
      </c>
      <c r="Q965" s="2">
        <v>0</v>
      </c>
      <c r="R965" s="2">
        <v>1</v>
      </c>
      <c r="S965" s="2">
        <v>0</v>
      </c>
      <c r="T965" s="2">
        <v>1</v>
      </c>
      <c r="U965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250</v>
      </c>
      <c r="V965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250</v>
      </c>
      <c r="W965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67</v>
      </c>
      <c r="X965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250</v>
      </c>
      <c r="Y965" s="2">
        <f>SUM(QS_RV1000[[#This Row],[THE_RV1000]:[Webometrics_RV1000]])</f>
        <v>817</v>
      </c>
      <c r="Z965" s="2">
        <v>0</v>
      </c>
      <c r="AA965" s="2">
        <v>0</v>
      </c>
      <c r="AB965" s="2">
        <v>67</v>
      </c>
      <c r="AC965" s="2">
        <v>0</v>
      </c>
    </row>
    <row r="966" spans="15:29" outlineLevel="1" x14ac:dyDescent="0.45">
      <c r="O966" s="1" t="s">
        <v>722</v>
      </c>
      <c r="P966" s="1">
        <v>0</v>
      </c>
      <c r="Q966" s="1">
        <v>0</v>
      </c>
      <c r="R966" s="1">
        <v>1</v>
      </c>
      <c r="S966" s="1">
        <v>0</v>
      </c>
      <c r="T966" s="1">
        <v>1</v>
      </c>
      <c r="U966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250</v>
      </c>
      <c r="V966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250</v>
      </c>
      <c r="W966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68</v>
      </c>
      <c r="X966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250</v>
      </c>
      <c r="Y966" s="2">
        <f>SUM(QS_RV1000[[#This Row],[THE_RV1000]:[Webometrics_RV1000]])</f>
        <v>818</v>
      </c>
      <c r="Z966" s="1">
        <v>0</v>
      </c>
      <c r="AA966" s="1">
        <v>0</v>
      </c>
      <c r="AB966" s="1">
        <v>68</v>
      </c>
      <c r="AC966" s="1">
        <v>0</v>
      </c>
    </row>
    <row r="967" spans="15:29" outlineLevel="1" x14ac:dyDescent="0.45">
      <c r="O967" s="2" t="s">
        <v>725</v>
      </c>
      <c r="P967" s="2">
        <v>0</v>
      </c>
      <c r="Q967" s="2">
        <v>0</v>
      </c>
      <c r="R967" s="2">
        <v>1</v>
      </c>
      <c r="S967" s="2">
        <v>0</v>
      </c>
      <c r="T967" s="2">
        <v>1</v>
      </c>
      <c r="U967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250</v>
      </c>
      <c r="V967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250</v>
      </c>
      <c r="W967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70</v>
      </c>
      <c r="X967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250</v>
      </c>
      <c r="Y967" s="2">
        <f>SUM(QS_RV1000[[#This Row],[THE_RV1000]:[Webometrics_RV1000]])</f>
        <v>820</v>
      </c>
      <c r="Z967" s="2">
        <v>0</v>
      </c>
      <c r="AA967" s="2">
        <v>0</v>
      </c>
      <c r="AB967" s="2">
        <v>70</v>
      </c>
      <c r="AC967" s="2">
        <v>0</v>
      </c>
    </row>
    <row r="968" spans="15:29" outlineLevel="1" x14ac:dyDescent="0.45">
      <c r="O968" s="1" t="s">
        <v>728</v>
      </c>
      <c r="P968" s="1">
        <v>0</v>
      </c>
      <c r="Q968" s="1">
        <v>0</v>
      </c>
      <c r="R968" s="1">
        <v>1</v>
      </c>
      <c r="S968" s="1">
        <v>0</v>
      </c>
      <c r="T968" s="1">
        <v>1</v>
      </c>
      <c r="U968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250</v>
      </c>
      <c r="V968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250</v>
      </c>
      <c r="W968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71</v>
      </c>
      <c r="X968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250</v>
      </c>
      <c r="Y968" s="2">
        <f>SUM(QS_RV1000[[#This Row],[THE_RV1000]:[Webometrics_RV1000]])</f>
        <v>821</v>
      </c>
      <c r="Z968" s="1">
        <v>0</v>
      </c>
      <c r="AA968" s="1">
        <v>0</v>
      </c>
      <c r="AB968" s="1">
        <v>71</v>
      </c>
      <c r="AC968" s="1">
        <v>0</v>
      </c>
    </row>
    <row r="969" spans="15:29" outlineLevel="1" x14ac:dyDescent="0.45">
      <c r="O969" s="2" t="s">
        <v>733</v>
      </c>
      <c r="P969" s="2">
        <v>0</v>
      </c>
      <c r="Q969" s="2">
        <v>0</v>
      </c>
      <c r="R969" s="2">
        <v>1</v>
      </c>
      <c r="S969" s="2">
        <v>0</v>
      </c>
      <c r="T969" s="2">
        <v>1</v>
      </c>
      <c r="U969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250</v>
      </c>
      <c r="V969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250</v>
      </c>
      <c r="W969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74</v>
      </c>
      <c r="X969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250</v>
      </c>
      <c r="Y969" s="2">
        <f>SUM(QS_RV1000[[#This Row],[THE_RV1000]:[Webometrics_RV1000]])</f>
        <v>824</v>
      </c>
      <c r="Z969" s="2">
        <v>0</v>
      </c>
      <c r="AA969" s="2">
        <v>0</v>
      </c>
      <c r="AB969" s="2">
        <v>74</v>
      </c>
      <c r="AC969" s="2">
        <v>0</v>
      </c>
    </row>
    <row r="970" spans="15:29" outlineLevel="1" x14ac:dyDescent="0.45">
      <c r="O970" s="1" t="s">
        <v>734</v>
      </c>
      <c r="P970" s="1">
        <v>0</v>
      </c>
      <c r="Q970" s="1">
        <v>0</v>
      </c>
      <c r="R970" s="1">
        <v>1</v>
      </c>
      <c r="S970" s="1">
        <v>0</v>
      </c>
      <c r="T970" s="1">
        <v>1</v>
      </c>
      <c r="U970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250</v>
      </c>
      <c r="V970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250</v>
      </c>
      <c r="W970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75</v>
      </c>
      <c r="X970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250</v>
      </c>
      <c r="Y970" s="2">
        <f>SUM(QS_RV1000[[#This Row],[THE_RV1000]:[Webometrics_RV1000]])</f>
        <v>825</v>
      </c>
      <c r="Z970" s="1">
        <v>0</v>
      </c>
      <c r="AA970" s="1">
        <v>0</v>
      </c>
      <c r="AB970" s="1">
        <v>75</v>
      </c>
      <c r="AC970" s="1">
        <v>0</v>
      </c>
    </row>
    <row r="971" spans="15:29" outlineLevel="1" x14ac:dyDescent="0.45">
      <c r="O971" s="2" t="s">
        <v>738</v>
      </c>
      <c r="P971" s="2">
        <v>0</v>
      </c>
      <c r="Q971" s="2">
        <v>0</v>
      </c>
      <c r="R971" s="2">
        <v>1</v>
      </c>
      <c r="S971" s="2">
        <v>0</v>
      </c>
      <c r="T971" s="2">
        <v>1</v>
      </c>
      <c r="U971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250</v>
      </c>
      <c r="V971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250</v>
      </c>
      <c r="W971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77</v>
      </c>
      <c r="X971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250</v>
      </c>
      <c r="Y971" s="2">
        <f>SUM(QS_RV1000[[#This Row],[THE_RV1000]:[Webometrics_RV1000]])</f>
        <v>827</v>
      </c>
      <c r="Z971" s="2">
        <v>0</v>
      </c>
      <c r="AA971" s="2">
        <v>0</v>
      </c>
      <c r="AB971" s="2">
        <v>77</v>
      </c>
      <c r="AC971" s="2">
        <v>0</v>
      </c>
    </row>
    <row r="972" spans="15:29" outlineLevel="1" x14ac:dyDescent="0.45">
      <c r="O972" s="1" t="s">
        <v>740</v>
      </c>
      <c r="P972" s="1">
        <v>0</v>
      </c>
      <c r="Q972" s="1">
        <v>0</v>
      </c>
      <c r="R972" s="1">
        <v>1</v>
      </c>
      <c r="S972" s="1">
        <v>0</v>
      </c>
      <c r="T972" s="1">
        <v>1</v>
      </c>
      <c r="U972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250</v>
      </c>
      <c r="V972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250</v>
      </c>
      <c r="W972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78</v>
      </c>
      <c r="X972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250</v>
      </c>
      <c r="Y972" s="2">
        <f>SUM(QS_RV1000[[#This Row],[THE_RV1000]:[Webometrics_RV1000]])</f>
        <v>828</v>
      </c>
      <c r="Z972" s="1">
        <v>0</v>
      </c>
      <c r="AA972" s="1">
        <v>0</v>
      </c>
      <c r="AB972" s="1">
        <v>78</v>
      </c>
      <c r="AC972" s="1">
        <v>0</v>
      </c>
    </row>
    <row r="973" spans="15:29" outlineLevel="1" x14ac:dyDescent="0.45">
      <c r="O973" s="2" t="s">
        <v>742</v>
      </c>
      <c r="P973" s="2">
        <v>0</v>
      </c>
      <c r="Q973" s="2">
        <v>0</v>
      </c>
      <c r="R973" s="2">
        <v>1</v>
      </c>
      <c r="S973" s="2">
        <v>0</v>
      </c>
      <c r="T973" s="2">
        <v>1</v>
      </c>
      <c r="U973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250</v>
      </c>
      <c r="V973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250</v>
      </c>
      <c r="W973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79</v>
      </c>
      <c r="X973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250</v>
      </c>
      <c r="Y973" s="2">
        <f>SUM(QS_RV1000[[#This Row],[THE_RV1000]:[Webometrics_RV1000]])</f>
        <v>829</v>
      </c>
      <c r="Z973" s="2">
        <v>0</v>
      </c>
      <c r="AA973" s="2">
        <v>0</v>
      </c>
      <c r="AB973" s="2">
        <v>79</v>
      </c>
      <c r="AC973" s="2">
        <v>0</v>
      </c>
    </row>
    <row r="974" spans="15:29" outlineLevel="1" x14ac:dyDescent="0.45">
      <c r="O974" s="1" t="s">
        <v>751</v>
      </c>
      <c r="P974" s="1">
        <v>0</v>
      </c>
      <c r="Q974" s="1">
        <v>0</v>
      </c>
      <c r="R974" s="1">
        <v>1</v>
      </c>
      <c r="S974" s="1">
        <v>0</v>
      </c>
      <c r="T974" s="1">
        <v>1</v>
      </c>
      <c r="U974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250</v>
      </c>
      <c r="V974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250</v>
      </c>
      <c r="W974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87</v>
      </c>
      <c r="X974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250</v>
      </c>
      <c r="Y974" s="2">
        <f>SUM(QS_RV1000[[#This Row],[THE_RV1000]:[Webometrics_RV1000]])</f>
        <v>837</v>
      </c>
      <c r="Z974" s="1">
        <v>0</v>
      </c>
      <c r="AA974" s="1">
        <v>0</v>
      </c>
      <c r="AB974" s="1">
        <v>87</v>
      </c>
      <c r="AC974" s="1">
        <v>0</v>
      </c>
    </row>
    <row r="975" spans="15:29" outlineLevel="1" x14ac:dyDescent="0.45">
      <c r="O975" s="2" t="s">
        <v>756</v>
      </c>
      <c r="P975" s="2">
        <v>0</v>
      </c>
      <c r="Q975" s="2">
        <v>0</v>
      </c>
      <c r="R975" s="2">
        <v>1</v>
      </c>
      <c r="S975" s="2">
        <v>0</v>
      </c>
      <c r="T975" s="2">
        <v>1</v>
      </c>
      <c r="U975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250</v>
      </c>
      <c r="V975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250</v>
      </c>
      <c r="W975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89</v>
      </c>
      <c r="X975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250</v>
      </c>
      <c r="Y975" s="2">
        <f>SUM(QS_RV1000[[#This Row],[THE_RV1000]:[Webometrics_RV1000]])</f>
        <v>839</v>
      </c>
      <c r="Z975" s="2">
        <v>0</v>
      </c>
      <c r="AA975" s="2">
        <v>0</v>
      </c>
      <c r="AB975" s="2">
        <v>89</v>
      </c>
      <c r="AC975" s="2">
        <v>0</v>
      </c>
    </row>
    <row r="976" spans="15:29" outlineLevel="1" x14ac:dyDescent="0.45">
      <c r="O976" s="1" t="s">
        <v>761</v>
      </c>
      <c r="P976" s="1">
        <v>0</v>
      </c>
      <c r="Q976" s="1">
        <v>0</v>
      </c>
      <c r="R976" s="1">
        <v>1</v>
      </c>
      <c r="S976" s="1">
        <v>0</v>
      </c>
      <c r="T976" s="1">
        <v>1</v>
      </c>
      <c r="U976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250</v>
      </c>
      <c r="V976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250</v>
      </c>
      <c r="W976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91</v>
      </c>
      <c r="X976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250</v>
      </c>
      <c r="Y976" s="2">
        <f>SUM(QS_RV1000[[#This Row],[THE_RV1000]:[Webometrics_RV1000]])</f>
        <v>841</v>
      </c>
      <c r="Z976" s="1">
        <v>0</v>
      </c>
      <c r="AA976" s="1">
        <v>0</v>
      </c>
      <c r="AB976" s="1">
        <v>91</v>
      </c>
      <c r="AC976" s="1">
        <v>0</v>
      </c>
    </row>
    <row r="977" spans="15:29" outlineLevel="1" x14ac:dyDescent="0.45">
      <c r="O977" s="2" t="s">
        <v>763</v>
      </c>
      <c r="P977" s="2">
        <v>0</v>
      </c>
      <c r="Q977" s="2">
        <v>0</v>
      </c>
      <c r="R977" s="2">
        <v>1</v>
      </c>
      <c r="S977" s="2">
        <v>0</v>
      </c>
      <c r="T977" s="2">
        <v>1</v>
      </c>
      <c r="U977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250</v>
      </c>
      <c r="V977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250</v>
      </c>
      <c r="W977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92</v>
      </c>
      <c r="X977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250</v>
      </c>
      <c r="Y977" s="2">
        <f>SUM(QS_RV1000[[#This Row],[THE_RV1000]:[Webometrics_RV1000]])</f>
        <v>842</v>
      </c>
      <c r="Z977" s="2">
        <v>0</v>
      </c>
      <c r="AA977" s="2">
        <v>0</v>
      </c>
      <c r="AB977" s="2">
        <v>92</v>
      </c>
      <c r="AC977" s="2">
        <v>0</v>
      </c>
    </row>
    <row r="978" spans="15:29" outlineLevel="1" x14ac:dyDescent="0.45">
      <c r="O978" s="1" t="s">
        <v>770</v>
      </c>
      <c r="P978" s="1">
        <v>0</v>
      </c>
      <c r="Q978" s="1">
        <v>0</v>
      </c>
      <c r="R978" s="1">
        <v>1</v>
      </c>
      <c r="S978" s="1">
        <v>0</v>
      </c>
      <c r="T978" s="1">
        <v>1</v>
      </c>
      <c r="U978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250</v>
      </c>
      <c r="V978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250</v>
      </c>
      <c r="W978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95</v>
      </c>
      <c r="X978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250</v>
      </c>
      <c r="Y978" s="2">
        <f>SUM(QS_RV1000[[#This Row],[THE_RV1000]:[Webometrics_RV1000]])</f>
        <v>845</v>
      </c>
      <c r="Z978" s="1">
        <v>0</v>
      </c>
      <c r="AA978" s="1">
        <v>0</v>
      </c>
      <c r="AB978" s="1">
        <v>95</v>
      </c>
      <c r="AC978" s="1">
        <v>0</v>
      </c>
    </row>
    <row r="979" spans="15:29" outlineLevel="1" x14ac:dyDescent="0.45">
      <c r="O979" s="2" t="s">
        <v>773</v>
      </c>
      <c r="P979" s="2">
        <v>0</v>
      </c>
      <c r="Q979" s="2">
        <v>0</v>
      </c>
      <c r="R979" s="2">
        <v>1</v>
      </c>
      <c r="S979" s="2">
        <v>0</v>
      </c>
      <c r="T979" s="2">
        <v>1</v>
      </c>
      <c r="U979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250</v>
      </c>
      <c r="V979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250</v>
      </c>
      <c r="W979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96</v>
      </c>
      <c r="X979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250</v>
      </c>
      <c r="Y979" s="2">
        <f>SUM(QS_RV1000[[#This Row],[THE_RV1000]:[Webometrics_RV1000]])</f>
        <v>846</v>
      </c>
      <c r="Z979" s="2">
        <v>0</v>
      </c>
      <c r="AA979" s="2">
        <v>0</v>
      </c>
      <c r="AB979" s="2">
        <v>96</v>
      </c>
      <c r="AC979" s="2">
        <v>0</v>
      </c>
    </row>
    <row r="980" spans="15:29" outlineLevel="1" x14ac:dyDescent="0.45">
      <c r="O980" s="1" t="s">
        <v>776</v>
      </c>
      <c r="P980" s="1">
        <v>0</v>
      </c>
      <c r="Q980" s="1">
        <v>0</v>
      </c>
      <c r="R980" s="1">
        <v>1</v>
      </c>
      <c r="S980" s="1">
        <v>0</v>
      </c>
      <c r="T980" s="1">
        <v>1</v>
      </c>
      <c r="U980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250</v>
      </c>
      <c r="V980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250</v>
      </c>
      <c r="W980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96</v>
      </c>
      <c r="X980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250</v>
      </c>
      <c r="Y980" s="2">
        <f>SUM(QS_RV1000[[#This Row],[THE_RV1000]:[Webometrics_RV1000]])</f>
        <v>846</v>
      </c>
      <c r="Z980" s="1">
        <v>0</v>
      </c>
      <c r="AA980" s="1">
        <v>0</v>
      </c>
      <c r="AB980" s="1">
        <v>96</v>
      </c>
      <c r="AC980" s="1">
        <v>0</v>
      </c>
    </row>
    <row r="981" spans="15:29" outlineLevel="1" x14ac:dyDescent="0.45">
      <c r="O981" s="2" t="s">
        <v>778</v>
      </c>
      <c r="P981" s="2">
        <v>0</v>
      </c>
      <c r="Q981" s="2">
        <v>0</v>
      </c>
      <c r="R981" s="2">
        <v>1</v>
      </c>
      <c r="S981" s="2">
        <v>0</v>
      </c>
      <c r="T981" s="2">
        <v>1</v>
      </c>
      <c r="U981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250</v>
      </c>
      <c r="V981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250</v>
      </c>
      <c r="W981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98</v>
      </c>
      <c r="X981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250</v>
      </c>
      <c r="Y981" s="2">
        <f>SUM(QS_RV1000[[#This Row],[THE_RV1000]:[Webometrics_RV1000]])</f>
        <v>848</v>
      </c>
      <c r="Z981" s="2">
        <v>0</v>
      </c>
      <c r="AA981" s="2">
        <v>0</v>
      </c>
      <c r="AB981" s="2">
        <v>98</v>
      </c>
      <c r="AC981" s="2">
        <v>0</v>
      </c>
    </row>
    <row r="982" spans="15:29" outlineLevel="1" x14ac:dyDescent="0.45">
      <c r="O982" s="1" t="s">
        <v>780</v>
      </c>
      <c r="P982" s="1">
        <v>0</v>
      </c>
      <c r="Q982" s="1">
        <v>0</v>
      </c>
      <c r="R982" s="1">
        <v>1</v>
      </c>
      <c r="S982" s="1">
        <v>0</v>
      </c>
      <c r="T982" s="1">
        <v>1</v>
      </c>
      <c r="U982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250</v>
      </c>
      <c r="V982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250</v>
      </c>
      <c r="W982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99</v>
      </c>
      <c r="X982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250</v>
      </c>
      <c r="Y982" s="2">
        <f>SUM(QS_RV1000[[#This Row],[THE_RV1000]:[Webometrics_RV1000]])</f>
        <v>849</v>
      </c>
      <c r="Z982" s="1">
        <v>0</v>
      </c>
      <c r="AA982" s="1">
        <v>0</v>
      </c>
      <c r="AB982" s="1">
        <v>99</v>
      </c>
      <c r="AC982" s="1">
        <v>0</v>
      </c>
    </row>
    <row r="983" spans="15:29" outlineLevel="1" x14ac:dyDescent="0.45">
      <c r="O983" s="11" t="s">
        <v>782</v>
      </c>
      <c r="P983" s="11">
        <v>0</v>
      </c>
      <c r="Q983" s="11">
        <v>0</v>
      </c>
      <c r="R983" s="11">
        <v>1</v>
      </c>
      <c r="S983" s="11">
        <v>0</v>
      </c>
      <c r="T983" s="11">
        <v>1</v>
      </c>
      <c r="U983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250</v>
      </c>
      <c r="V983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250</v>
      </c>
      <c r="W983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100</v>
      </c>
      <c r="X983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250</v>
      </c>
      <c r="Y983" s="2">
        <f>SUM(QS_RV1000[[#This Row],[THE_RV1000]:[Webometrics_RV1000]])</f>
        <v>850</v>
      </c>
      <c r="Z983" s="11">
        <v>0</v>
      </c>
      <c r="AA983" s="11">
        <v>0</v>
      </c>
      <c r="AB983" s="11">
        <v>100</v>
      </c>
      <c r="AC983" s="11">
        <v>0</v>
      </c>
    </row>
    <row r="985" spans="15:29" x14ac:dyDescent="0.45">
      <c r="O985" t="s">
        <v>894</v>
      </c>
    </row>
    <row r="986" spans="15:29" x14ac:dyDescent="0.45">
      <c r="O986" s="7" t="s">
        <v>855</v>
      </c>
      <c r="P986" s="7" t="s">
        <v>846</v>
      </c>
      <c r="Q986" s="7" t="s">
        <v>848</v>
      </c>
      <c r="R986" s="7" t="s">
        <v>849</v>
      </c>
      <c r="S986" s="7" t="s">
        <v>850</v>
      </c>
      <c r="T986" s="7" t="s">
        <v>861</v>
      </c>
      <c r="U986" s="7" t="s">
        <v>875</v>
      </c>
      <c r="V986" s="7" t="s">
        <v>876</v>
      </c>
      <c r="W986" s="7" t="s">
        <v>877</v>
      </c>
      <c r="X986" s="7" t="s">
        <v>878</v>
      </c>
      <c r="Y986" s="7" t="s">
        <v>874</v>
      </c>
      <c r="Z986" s="7" t="s">
        <v>870</v>
      </c>
      <c r="AA986" s="7" t="s">
        <v>871</v>
      </c>
      <c r="AB986" s="7" t="s">
        <v>872</v>
      </c>
      <c r="AC986" s="7" t="s">
        <v>873</v>
      </c>
    </row>
    <row r="987" spans="15:29" outlineLevel="1" x14ac:dyDescent="0.45">
      <c r="O987" s="1" t="s">
        <v>8</v>
      </c>
      <c r="P987" s="1">
        <v>1</v>
      </c>
      <c r="Q987" s="1">
        <v>1</v>
      </c>
      <c r="R987" s="1">
        <v>1</v>
      </c>
      <c r="S987" s="1">
        <v>1</v>
      </c>
      <c r="T987" s="1">
        <v>4</v>
      </c>
      <c r="U987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2</v>
      </c>
      <c r="V987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1</v>
      </c>
      <c r="W987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5</v>
      </c>
      <c r="X987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1</v>
      </c>
      <c r="Y987" s="2">
        <f>SUM(Webometrics_RV1000[[#This Row],[THE_RV1000]:[Webometrics_RV1000]])</f>
        <v>9</v>
      </c>
      <c r="Z987" s="1">
        <v>2</v>
      </c>
      <c r="AA987" s="1">
        <v>1</v>
      </c>
      <c r="AB987" s="1">
        <v>5</v>
      </c>
      <c r="AC987" s="1">
        <v>1</v>
      </c>
    </row>
    <row r="988" spans="15:29" outlineLevel="1" x14ac:dyDescent="0.45">
      <c r="O988" s="2" t="s">
        <v>21</v>
      </c>
      <c r="P988" s="2">
        <v>1</v>
      </c>
      <c r="Q988" s="2">
        <v>1</v>
      </c>
      <c r="R988" s="2">
        <v>1</v>
      </c>
      <c r="S988" s="2">
        <v>1</v>
      </c>
      <c r="T988" s="2">
        <v>4</v>
      </c>
      <c r="U988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3</v>
      </c>
      <c r="V988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2</v>
      </c>
      <c r="W988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3</v>
      </c>
      <c r="X988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2</v>
      </c>
      <c r="Y988" s="2">
        <f>SUM(Webometrics_RV1000[[#This Row],[THE_RV1000]:[Webometrics_RV1000]])</f>
        <v>10</v>
      </c>
      <c r="Z988" s="2">
        <v>3</v>
      </c>
      <c r="AA988" s="2">
        <v>2</v>
      </c>
      <c r="AB988" s="2">
        <v>3</v>
      </c>
      <c r="AC988" s="2">
        <v>2</v>
      </c>
    </row>
    <row r="989" spans="15:29" outlineLevel="1" x14ac:dyDescent="0.45">
      <c r="O989" s="1" t="s">
        <v>27</v>
      </c>
      <c r="P989" s="1">
        <v>1</v>
      </c>
      <c r="Q989" s="1">
        <v>1</v>
      </c>
      <c r="R989" s="1">
        <v>1</v>
      </c>
      <c r="S989" s="1">
        <v>1</v>
      </c>
      <c r="T989" s="1">
        <v>4</v>
      </c>
      <c r="U989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5</v>
      </c>
      <c r="V989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3</v>
      </c>
      <c r="W989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1</v>
      </c>
      <c r="X989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3</v>
      </c>
      <c r="Y989" s="2">
        <f>SUM(Webometrics_RV1000[[#This Row],[THE_RV1000]:[Webometrics_RV1000]])</f>
        <v>12</v>
      </c>
      <c r="Z989" s="1">
        <v>5</v>
      </c>
      <c r="AA989" s="1">
        <v>3</v>
      </c>
      <c r="AB989" s="1">
        <v>1</v>
      </c>
      <c r="AC989" s="1">
        <v>3</v>
      </c>
    </row>
    <row r="990" spans="15:29" outlineLevel="1" x14ac:dyDescent="0.45">
      <c r="O990" s="2" t="s">
        <v>0</v>
      </c>
      <c r="P990" s="2">
        <v>1</v>
      </c>
      <c r="Q990" s="2">
        <v>1</v>
      </c>
      <c r="R990" s="2">
        <v>1</v>
      </c>
      <c r="S990" s="2">
        <v>1</v>
      </c>
      <c r="T990" s="2">
        <v>4</v>
      </c>
      <c r="U990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1</v>
      </c>
      <c r="V990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7</v>
      </c>
      <c r="W990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4</v>
      </c>
      <c r="X990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5</v>
      </c>
      <c r="Y990" s="2">
        <f>SUM(Webometrics_RV1000[[#This Row],[THE_RV1000]:[Webometrics_RV1000]])</f>
        <v>17</v>
      </c>
      <c r="Z990" s="2">
        <v>1</v>
      </c>
      <c r="AA990" s="2">
        <v>7</v>
      </c>
      <c r="AB990" s="2">
        <v>4</v>
      </c>
      <c r="AC990" s="2">
        <v>5</v>
      </c>
    </row>
    <row r="991" spans="15:29" outlineLevel="1" x14ac:dyDescent="0.45">
      <c r="O991" s="1" t="s">
        <v>15</v>
      </c>
      <c r="P991" s="1">
        <v>1</v>
      </c>
      <c r="Q991" s="1">
        <v>1</v>
      </c>
      <c r="R991" s="1">
        <v>1</v>
      </c>
      <c r="S991" s="1">
        <v>1</v>
      </c>
      <c r="T991" s="1">
        <v>4</v>
      </c>
      <c r="U991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3</v>
      </c>
      <c r="V991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4</v>
      </c>
      <c r="W991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2</v>
      </c>
      <c r="X991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12</v>
      </c>
      <c r="Y991" s="2">
        <f>SUM(Webometrics_RV1000[[#This Row],[THE_RV1000]:[Webometrics_RV1000]])</f>
        <v>21</v>
      </c>
      <c r="Z991" s="1">
        <v>3</v>
      </c>
      <c r="AA991" s="1">
        <v>4</v>
      </c>
      <c r="AB991" s="1">
        <v>2</v>
      </c>
      <c r="AC991" s="1">
        <v>12</v>
      </c>
    </row>
    <row r="992" spans="15:29" outlineLevel="1" x14ac:dyDescent="0.45">
      <c r="O992" s="2" t="s">
        <v>792</v>
      </c>
      <c r="P992" s="2">
        <v>1</v>
      </c>
      <c r="Q992" s="2">
        <v>1</v>
      </c>
      <c r="R992" s="2">
        <v>1</v>
      </c>
      <c r="S992" s="2">
        <v>1</v>
      </c>
      <c r="T992" s="2">
        <v>4</v>
      </c>
      <c r="U992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8</v>
      </c>
      <c r="V992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5</v>
      </c>
      <c r="W992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27</v>
      </c>
      <c r="X992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4</v>
      </c>
      <c r="Y992" s="2">
        <f>SUM(Webometrics_RV1000[[#This Row],[THE_RV1000]:[Webometrics_RV1000]])</f>
        <v>44</v>
      </c>
      <c r="Z992" s="2">
        <v>8</v>
      </c>
      <c r="AA992" s="2">
        <v>5</v>
      </c>
      <c r="AB992" s="2">
        <v>27</v>
      </c>
      <c r="AC992" s="2">
        <v>4</v>
      </c>
    </row>
    <row r="993" spans="15:29" outlineLevel="1" x14ac:dyDescent="0.45">
      <c r="O993" s="1" t="s">
        <v>61</v>
      </c>
      <c r="P993" s="1">
        <v>1</v>
      </c>
      <c r="Q993" s="1">
        <v>1</v>
      </c>
      <c r="R993" s="1">
        <v>1</v>
      </c>
      <c r="S993" s="1">
        <v>1</v>
      </c>
      <c r="T993" s="1">
        <v>4</v>
      </c>
      <c r="U993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11</v>
      </c>
      <c r="V993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8</v>
      </c>
      <c r="W993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22</v>
      </c>
      <c r="X993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9</v>
      </c>
      <c r="Y993" s="2">
        <f>SUM(Webometrics_RV1000[[#This Row],[THE_RV1000]:[Webometrics_RV1000]])</f>
        <v>50</v>
      </c>
      <c r="Z993" s="1">
        <v>11</v>
      </c>
      <c r="AA993" s="1">
        <v>8</v>
      </c>
      <c r="AB993" s="1">
        <v>22</v>
      </c>
      <c r="AC993" s="1">
        <v>9</v>
      </c>
    </row>
    <row r="994" spans="15:29" outlineLevel="1" x14ac:dyDescent="0.45">
      <c r="O994" s="2" t="s">
        <v>48</v>
      </c>
      <c r="P994" s="2">
        <v>1</v>
      </c>
      <c r="Q994" s="2">
        <v>1</v>
      </c>
      <c r="R994" s="2">
        <v>1</v>
      </c>
      <c r="S994" s="2">
        <v>1</v>
      </c>
      <c r="T994" s="2">
        <v>4</v>
      </c>
      <c r="U994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9</v>
      </c>
      <c r="V994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11</v>
      </c>
      <c r="W994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18</v>
      </c>
      <c r="X994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14</v>
      </c>
      <c r="Y994" s="2">
        <f>SUM(Webometrics_RV1000[[#This Row],[THE_RV1000]:[Webometrics_RV1000]])</f>
        <v>52</v>
      </c>
      <c r="Z994" s="2">
        <v>9</v>
      </c>
      <c r="AA994" s="2">
        <v>11</v>
      </c>
      <c r="AB994" s="2">
        <v>18</v>
      </c>
      <c r="AC994" s="2">
        <v>14</v>
      </c>
    </row>
    <row r="995" spans="15:29" outlineLevel="1" x14ac:dyDescent="0.45">
      <c r="O995" s="1" t="s">
        <v>79</v>
      </c>
      <c r="P995" s="1">
        <v>1</v>
      </c>
      <c r="Q995" s="1">
        <v>1</v>
      </c>
      <c r="R995" s="1">
        <v>1</v>
      </c>
      <c r="S995" s="1">
        <v>1</v>
      </c>
      <c r="T995" s="1">
        <v>4</v>
      </c>
      <c r="U995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14</v>
      </c>
      <c r="V995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15</v>
      </c>
      <c r="W995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13</v>
      </c>
      <c r="X995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11</v>
      </c>
      <c r="Y995" s="2">
        <f>SUM(Webometrics_RV1000[[#This Row],[THE_RV1000]:[Webometrics_RV1000]])</f>
        <v>53</v>
      </c>
      <c r="Z995" s="1">
        <v>14</v>
      </c>
      <c r="AA995" s="1">
        <v>15</v>
      </c>
      <c r="AB995" s="1">
        <v>13</v>
      </c>
      <c r="AC995" s="1">
        <v>11</v>
      </c>
    </row>
    <row r="996" spans="15:29" outlineLevel="1" x14ac:dyDescent="0.45">
      <c r="O996" s="2" t="s">
        <v>36</v>
      </c>
      <c r="P996" s="2">
        <v>1</v>
      </c>
      <c r="Q996" s="2">
        <v>1</v>
      </c>
      <c r="R996" s="2">
        <v>1</v>
      </c>
      <c r="S996" s="2">
        <v>1</v>
      </c>
      <c r="T996" s="2">
        <v>4</v>
      </c>
      <c r="U996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7</v>
      </c>
      <c r="V996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6</v>
      </c>
      <c r="W996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16</v>
      </c>
      <c r="X996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26</v>
      </c>
      <c r="Y996" s="2">
        <f>SUM(Webometrics_RV1000[[#This Row],[THE_RV1000]:[Webometrics_RV1000]])</f>
        <v>55</v>
      </c>
      <c r="Z996" s="2">
        <v>7</v>
      </c>
      <c r="AA996" s="2">
        <v>6</v>
      </c>
      <c r="AB996" s="2">
        <v>16</v>
      </c>
      <c r="AC996" s="2">
        <v>26</v>
      </c>
    </row>
    <row r="997" spans="15:29" outlineLevel="1" x14ac:dyDescent="0.45">
      <c r="O997" s="1" t="s">
        <v>118</v>
      </c>
      <c r="P997" s="1">
        <v>1</v>
      </c>
      <c r="Q997" s="1">
        <v>1</v>
      </c>
      <c r="R997" s="1">
        <v>1</v>
      </c>
      <c r="S997" s="1">
        <v>1</v>
      </c>
      <c r="T997" s="1">
        <v>4</v>
      </c>
      <c r="U997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20</v>
      </c>
      <c r="V997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12</v>
      </c>
      <c r="W997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20</v>
      </c>
      <c r="X997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8</v>
      </c>
      <c r="Y997" s="2">
        <f>SUM(Webometrics_RV1000[[#This Row],[THE_RV1000]:[Webometrics_RV1000]])</f>
        <v>60</v>
      </c>
      <c r="Z997" s="1">
        <v>20</v>
      </c>
      <c r="AA997" s="1">
        <v>12</v>
      </c>
      <c r="AB997" s="1">
        <v>20</v>
      </c>
      <c r="AC997" s="1">
        <v>8</v>
      </c>
    </row>
    <row r="998" spans="15:29" outlineLevel="1" x14ac:dyDescent="0.45">
      <c r="O998" s="2" t="s">
        <v>501</v>
      </c>
      <c r="P998" s="2">
        <v>1</v>
      </c>
      <c r="Q998" s="2">
        <v>1</v>
      </c>
      <c r="R998" s="2">
        <v>1</v>
      </c>
      <c r="S998" s="2">
        <v>1</v>
      </c>
      <c r="T998" s="2">
        <v>4</v>
      </c>
      <c r="U998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13</v>
      </c>
      <c r="V998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10</v>
      </c>
      <c r="W998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10</v>
      </c>
      <c r="X998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29</v>
      </c>
      <c r="Y998" s="2">
        <f>SUM(Webometrics_RV1000[[#This Row],[THE_RV1000]:[Webometrics_RV1000]])</f>
        <v>62</v>
      </c>
      <c r="Z998" s="2">
        <v>13</v>
      </c>
      <c r="AA998" s="2">
        <v>10</v>
      </c>
      <c r="AB998" s="2">
        <v>10</v>
      </c>
      <c r="AC998" s="2">
        <v>29</v>
      </c>
    </row>
    <row r="999" spans="15:29" outlineLevel="1" x14ac:dyDescent="0.45">
      <c r="O999" s="1" t="s">
        <v>83</v>
      </c>
      <c r="P999" s="1">
        <v>1</v>
      </c>
      <c r="Q999" s="1">
        <v>1</v>
      </c>
      <c r="R999" s="1">
        <v>1</v>
      </c>
      <c r="S999" s="1">
        <v>1</v>
      </c>
      <c r="T999" s="1">
        <v>4</v>
      </c>
      <c r="U999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15</v>
      </c>
      <c r="V999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14</v>
      </c>
      <c r="W999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24</v>
      </c>
      <c r="X999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10</v>
      </c>
      <c r="Y999" s="2">
        <f>SUM(Webometrics_RV1000[[#This Row],[THE_RV1000]:[Webometrics_RV1000]])</f>
        <v>63</v>
      </c>
      <c r="Z999" s="1">
        <v>15</v>
      </c>
      <c r="AA999" s="1">
        <v>14</v>
      </c>
      <c r="AB999" s="1">
        <v>24</v>
      </c>
      <c r="AC999" s="1">
        <v>10</v>
      </c>
    </row>
    <row r="1000" spans="15:29" outlineLevel="1" x14ac:dyDescent="0.45">
      <c r="O1000" s="2" t="s">
        <v>796</v>
      </c>
      <c r="P1000" s="2">
        <v>1</v>
      </c>
      <c r="Q1000" s="2">
        <v>1</v>
      </c>
      <c r="R1000" s="2">
        <v>1</v>
      </c>
      <c r="S1000" s="2">
        <v>1</v>
      </c>
      <c r="T1000" s="2">
        <v>4</v>
      </c>
      <c r="U1000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22</v>
      </c>
      <c r="V1000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18</v>
      </c>
      <c r="W1000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8</v>
      </c>
      <c r="X1000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15</v>
      </c>
      <c r="Y1000" s="2">
        <f>SUM(Webometrics_RV1000[[#This Row],[THE_RV1000]:[Webometrics_RV1000]])</f>
        <v>63</v>
      </c>
      <c r="Z1000" s="2">
        <v>22</v>
      </c>
      <c r="AA1000" s="2">
        <v>18</v>
      </c>
      <c r="AB1000" s="2">
        <v>8</v>
      </c>
      <c r="AC1000" s="2">
        <v>15</v>
      </c>
    </row>
    <row r="1001" spans="15:29" outlineLevel="1" x14ac:dyDescent="0.45">
      <c r="O1001" s="1" t="s">
        <v>67</v>
      </c>
      <c r="P1001" s="1">
        <v>1</v>
      </c>
      <c r="Q1001" s="1">
        <v>1</v>
      </c>
      <c r="R1001" s="1">
        <v>1</v>
      </c>
      <c r="S1001" s="1">
        <v>1</v>
      </c>
      <c r="T1001" s="1">
        <v>4</v>
      </c>
      <c r="U1001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11</v>
      </c>
      <c r="V1001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20</v>
      </c>
      <c r="W1001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9</v>
      </c>
      <c r="X1001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30</v>
      </c>
      <c r="Y1001" s="2">
        <f>SUM(Webometrics_RV1000[[#This Row],[THE_RV1000]:[Webometrics_RV1000]])</f>
        <v>70</v>
      </c>
      <c r="Z1001" s="1">
        <v>11</v>
      </c>
      <c r="AA1001" s="1">
        <v>20</v>
      </c>
      <c r="AB1001" s="1">
        <v>9</v>
      </c>
      <c r="AC1001" s="1">
        <v>30</v>
      </c>
    </row>
    <row r="1002" spans="15:29" outlineLevel="1" x14ac:dyDescent="0.45">
      <c r="O1002" s="2" t="s">
        <v>54</v>
      </c>
      <c r="P1002" s="2">
        <v>1</v>
      </c>
      <c r="Q1002" s="2">
        <v>1</v>
      </c>
      <c r="R1002" s="2">
        <v>1</v>
      </c>
      <c r="S1002" s="2">
        <v>1</v>
      </c>
      <c r="T1002" s="2">
        <v>4</v>
      </c>
      <c r="U1002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10</v>
      </c>
      <c r="V1002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23</v>
      </c>
      <c r="W1002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6</v>
      </c>
      <c r="X1002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35</v>
      </c>
      <c r="Y1002" s="2">
        <f>SUM(Webometrics_RV1000[[#This Row],[THE_RV1000]:[Webometrics_RV1000]])</f>
        <v>74</v>
      </c>
      <c r="Z1002" s="2">
        <v>10</v>
      </c>
      <c r="AA1002" s="2">
        <v>23</v>
      </c>
      <c r="AB1002" s="2">
        <v>6</v>
      </c>
      <c r="AC1002" s="2">
        <v>35</v>
      </c>
    </row>
    <row r="1003" spans="15:29" outlineLevel="1" x14ac:dyDescent="0.45">
      <c r="O1003" s="1" t="s">
        <v>31</v>
      </c>
      <c r="P1003" s="1">
        <v>1</v>
      </c>
      <c r="Q1003" s="1">
        <v>1</v>
      </c>
      <c r="R1003" s="1">
        <v>1</v>
      </c>
      <c r="S1003" s="1">
        <v>1</v>
      </c>
      <c r="T1003" s="1">
        <v>4</v>
      </c>
      <c r="U1003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6</v>
      </c>
      <c r="V1003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9</v>
      </c>
      <c r="W1003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6</v>
      </c>
      <c r="X1003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59</v>
      </c>
      <c r="Y1003" s="2">
        <f>SUM(Webometrics_RV1000[[#This Row],[THE_RV1000]:[Webometrics_RV1000]])</f>
        <v>80</v>
      </c>
      <c r="Z1003" s="1">
        <v>6</v>
      </c>
      <c r="AA1003" s="1">
        <v>9</v>
      </c>
      <c r="AB1003" s="1">
        <v>6</v>
      </c>
      <c r="AC1003" s="1">
        <v>59</v>
      </c>
    </row>
    <row r="1004" spans="15:29" outlineLevel="1" x14ac:dyDescent="0.45">
      <c r="O1004" s="2" t="s">
        <v>89</v>
      </c>
      <c r="P1004" s="2">
        <v>1</v>
      </c>
      <c r="Q1004" s="2">
        <v>1</v>
      </c>
      <c r="R1004" s="2">
        <v>1</v>
      </c>
      <c r="S1004" s="2">
        <v>1</v>
      </c>
      <c r="T1004" s="2">
        <v>4</v>
      </c>
      <c r="U1004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16</v>
      </c>
      <c r="V1004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26</v>
      </c>
      <c r="W1004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14</v>
      </c>
      <c r="X1004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24</v>
      </c>
      <c r="Y1004" s="2">
        <f>SUM(Webometrics_RV1000[[#This Row],[THE_RV1000]:[Webometrics_RV1000]])</f>
        <v>80</v>
      </c>
      <c r="Z1004" s="2">
        <v>16</v>
      </c>
      <c r="AA1004" s="2">
        <v>26</v>
      </c>
      <c r="AB1004" s="2">
        <v>14</v>
      </c>
      <c r="AC1004" s="2">
        <v>24</v>
      </c>
    </row>
    <row r="1005" spans="15:29" outlineLevel="1" x14ac:dyDescent="0.45">
      <c r="O1005" s="1" t="s">
        <v>133</v>
      </c>
      <c r="P1005" s="1">
        <v>1</v>
      </c>
      <c r="Q1005" s="1">
        <v>1</v>
      </c>
      <c r="R1005" s="1">
        <v>1</v>
      </c>
      <c r="S1005" s="1">
        <v>1</v>
      </c>
      <c r="T1005" s="1">
        <v>4</v>
      </c>
      <c r="U1005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23</v>
      </c>
      <c r="V1005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28</v>
      </c>
      <c r="W1005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25</v>
      </c>
      <c r="X1005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6</v>
      </c>
      <c r="Y1005" s="2">
        <f>SUM(Webometrics_RV1000[[#This Row],[THE_RV1000]:[Webometrics_RV1000]])</f>
        <v>82</v>
      </c>
      <c r="Z1005" s="1">
        <v>23</v>
      </c>
      <c r="AA1005" s="1">
        <v>28</v>
      </c>
      <c r="AB1005" s="1">
        <v>25</v>
      </c>
      <c r="AC1005" s="1">
        <v>6</v>
      </c>
    </row>
    <row r="1006" spans="15:29" outlineLevel="1" x14ac:dyDescent="0.45">
      <c r="O1006" s="2" t="s">
        <v>102</v>
      </c>
      <c r="P1006" s="2">
        <v>1</v>
      </c>
      <c r="Q1006" s="2">
        <v>1</v>
      </c>
      <c r="R1006" s="2">
        <v>1</v>
      </c>
      <c r="S1006" s="2">
        <v>1</v>
      </c>
      <c r="T1006" s="2">
        <v>4</v>
      </c>
      <c r="U1006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18</v>
      </c>
      <c r="V1006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22</v>
      </c>
      <c r="W1006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34</v>
      </c>
      <c r="X1006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16</v>
      </c>
      <c r="Y1006" s="2">
        <f>SUM(Webometrics_RV1000[[#This Row],[THE_RV1000]:[Webometrics_RV1000]])</f>
        <v>90</v>
      </c>
      <c r="Z1006" s="2">
        <v>18</v>
      </c>
      <c r="AA1006" s="2">
        <v>22</v>
      </c>
      <c r="AB1006" s="2">
        <v>34</v>
      </c>
      <c r="AC1006" s="2">
        <v>16</v>
      </c>
    </row>
    <row r="1007" spans="15:29" outlineLevel="1" x14ac:dyDescent="0.45">
      <c r="O1007" s="1" t="s">
        <v>795</v>
      </c>
      <c r="P1007" s="1">
        <v>1</v>
      </c>
      <c r="Q1007" s="1">
        <v>1</v>
      </c>
      <c r="R1007" s="1">
        <v>1</v>
      </c>
      <c r="S1007" s="1">
        <v>1</v>
      </c>
      <c r="T1007" s="1">
        <v>4</v>
      </c>
      <c r="U1007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21</v>
      </c>
      <c r="V1007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13</v>
      </c>
      <c r="W1007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44</v>
      </c>
      <c r="X1007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13</v>
      </c>
      <c r="Y1007" s="2">
        <f>SUM(Webometrics_RV1000[[#This Row],[THE_RV1000]:[Webometrics_RV1000]])</f>
        <v>91</v>
      </c>
      <c r="Z1007" s="1">
        <v>21</v>
      </c>
      <c r="AA1007" s="1">
        <v>13</v>
      </c>
      <c r="AB1007" s="1">
        <v>44</v>
      </c>
      <c r="AC1007" s="1">
        <v>13</v>
      </c>
    </row>
    <row r="1008" spans="15:29" outlineLevel="1" x14ac:dyDescent="0.45">
      <c r="O1008" s="2" t="s">
        <v>97</v>
      </c>
      <c r="P1008" s="2">
        <v>1</v>
      </c>
      <c r="Q1008" s="2">
        <v>1</v>
      </c>
      <c r="R1008" s="2">
        <v>1</v>
      </c>
      <c r="S1008" s="2">
        <v>1</v>
      </c>
      <c r="T1008" s="2">
        <v>4</v>
      </c>
      <c r="U1008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17</v>
      </c>
      <c r="V1008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34</v>
      </c>
      <c r="W1008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12</v>
      </c>
      <c r="X1008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32</v>
      </c>
      <c r="Y1008" s="2">
        <f>SUM(Webometrics_RV1000[[#This Row],[THE_RV1000]:[Webometrics_RV1000]])</f>
        <v>95</v>
      </c>
      <c r="Z1008" s="2">
        <v>17</v>
      </c>
      <c r="AA1008" s="2">
        <v>34</v>
      </c>
      <c r="AB1008" s="2">
        <v>12</v>
      </c>
      <c r="AC1008" s="2">
        <v>32</v>
      </c>
    </row>
    <row r="1009" spans="15:29" outlineLevel="1" x14ac:dyDescent="0.45">
      <c r="O1009" s="1" t="s">
        <v>151</v>
      </c>
      <c r="P1009" s="1">
        <v>1</v>
      </c>
      <c r="Q1009" s="1">
        <v>1</v>
      </c>
      <c r="R1009" s="1">
        <v>1</v>
      </c>
      <c r="S1009" s="1">
        <v>1</v>
      </c>
      <c r="T1009" s="1">
        <v>4</v>
      </c>
      <c r="U1009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26</v>
      </c>
      <c r="V1009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30</v>
      </c>
      <c r="W1009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32</v>
      </c>
      <c r="X1009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22</v>
      </c>
      <c r="Y1009" s="2">
        <f>SUM(Webometrics_RV1000[[#This Row],[THE_RV1000]:[Webometrics_RV1000]])</f>
        <v>110</v>
      </c>
      <c r="Z1009" s="1">
        <v>26</v>
      </c>
      <c r="AA1009" s="1">
        <v>30</v>
      </c>
      <c r="AB1009" s="1">
        <v>32</v>
      </c>
      <c r="AC1009" s="1">
        <v>22</v>
      </c>
    </row>
    <row r="1010" spans="15:29" outlineLevel="1" x14ac:dyDescent="0.45">
      <c r="O1010" s="2" t="s">
        <v>139</v>
      </c>
      <c r="P1010" s="2">
        <v>1</v>
      </c>
      <c r="Q1010" s="2">
        <v>1</v>
      </c>
      <c r="R1010" s="2">
        <v>1</v>
      </c>
      <c r="S1010" s="2">
        <v>1</v>
      </c>
      <c r="T1010" s="2">
        <v>4</v>
      </c>
      <c r="U1010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24</v>
      </c>
      <c r="V1010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25</v>
      </c>
      <c r="W1010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39</v>
      </c>
      <c r="X1010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23</v>
      </c>
      <c r="Y1010" s="2">
        <f>SUM(Webometrics_RV1000[[#This Row],[THE_RV1000]:[Webometrics_RV1000]])</f>
        <v>111</v>
      </c>
      <c r="Z1010" s="2">
        <v>24</v>
      </c>
      <c r="AA1010" s="2">
        <v>25</v>
      </c>
      <c r="AB1010" s="2">
        <v>39</v>
      </c>
      <c r="AC1010" s="2">
        <v>23</v>
      </c>
    </row>
    <row r="1011" spans="15:29" outlineLevel="1" x14ac:dyDescent="0.45">
      <c r="O1011" s="1" t="s">
        <v>797</v>
      </c>
      <c r="P1011" s="1">
        <v>1</v>
      </c>
      <c r="Q1011" s="1">
        <v>1</v>
      </c>
      <c r="R1011" s="1">
        <v>1</v>
      </c>
      <c r="S1011" s="1">
        <v>1</v>
      </c>
      <c r="T1011" s="1">
        <v>4</v>
      </c>
      <c r="U1011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32</v>
      </c>
      <c r="V1011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21</v>
      </c>
      <c r="W1011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53</v>
      </c>
      <c r="X1011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17</v>
      </c>
      <c r="Y1011" s="2">
        <f>SUM(Webometrics_RV1000[[#This Row],[THE_RV1000]:[Webometrics_RV1000]])</f>
        <v>123</v>
      </c>
      <c r="Z1011" s="1">
        <v>32</v>
      </c>
      <c r="AA1011" s="1">
        <v>21</v>
      </c>
      <c r="AB1011" s="1">
        <v>53</v>
      </c>
      <c r="AC1011" s="1">
        <v>17</v>
      </c>
    </row>
    <row r="1012" spans="15:29" outlineLevel="1" x14ac:dyDescent="0.45">
      <c r="O1012" s="2" t="s">
        <v>169</v>
      </c>
      <c r="P1012" s="2">
        <v>1</v>
      </c>
      <c r="Q1012" s="2">
        <v>1</v>
      </c>
      <c r="R1012" s="2">
        <v>1</v>
      </c>
      <c r="S1012" s="2">
        <v>1</v>
      </c>
      <c r="T1012" s="2">
        <v>4</v>
      </c>
      <c r="U1012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29</v>
      </c>
      <c r="V1012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35</v>
      </c>
      <c r="W1012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15</v>
      </c>
      <c r="X1012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44</v>
      </c>
      <c r="Y1012" s="2">
        <f>SUM(Webometrics_RV1000[[#This Row],[THE_RV1000]:[Webometrics_RV1000]])</f>
        <v>123</v>
      </c>
      <c r="Z1012" s="2">
        <v>29</v>
      </c>
      <c r="AA1012" s="2">
        <v>35</v>
      </c>
      <c r="AB1012" s="2">
        <v>15</v>
      </c>
      <c r="AC1012" s="2">
        <v>44</v>
      </c>
    </row>
    <row r="1013" spans="15:29" outlineLevel="1" x14ac:dyDescent="0.45">
      <c r="O1013" s="1" t="s">
        <v>145</v>
      </c>
      <c r="P1013" s="1">
        <v>1</v>
      </c>
      <c r="Q1013" s="1">
        <v>1</v>
      </c>
      <c r="R1013" s="1">
        <v>1</v>
      </c>
      <c r="S1013" s="1">
        <v>1</v>
      </c>
      <c r="T1013" s="1">
        <v>4</v>
      </c>
      <c r="U1013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25</v>
      </c>
      <c r="V1013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31</v>
      </c>
      <c r="W1013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50</v>
      </c>
      <c r="X1013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21</v>
      </c>
      <c r="Y1013" s="2">
        <f>SUM(Webometrics_RV1000[[#This Row],[THE_RV1000]:[Webometrics_RV1000]])</f>
        <v>127</v>
      </c>
      <c r="Z1013" s="1">
        <v>25</v>
      </c>
      <c r="AA1013" s="1">
        <v>31</v>
      </c>
      <c r="AB1013" s="1">
        <v>50</v>
      </c>
      <c r="AC1013" s="1">
        <v>21</v>
      </c>
    </row>
    <row r="1014" spans="15:29" outlineLevel="1" x14ac:dyDescent="0.45">
      <c r="O1014" s="2" t="s">
        <v>157</v>
      </c>
      <c r="P1014" s="2">
        <v>1</v>
      </c>
      <c r="Q1014" s="2">
        <v>1</v>
      </c>
      <c r="R1014" s="2">
        <v>1</v>
      </c>
      <c r="S1014" s="2">
        <v>1</v>
      </c>
      <c r="T1014" s="2">
        <v>4</v>
      </c>
      <c r="U1014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26</v>
      </c>
      <c r="V1014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17</v>
      </c>
      <c r="W1014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80</v>
      </c>
      <c r="X1014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7</v>
      </c>
      <c r="Y1014" s="2">
        <f>SUM(Webometrics_RV1000[[#This Row],[THE_RV1000]:[Webometrics_RV1000]])</f>
        <v>130</v>
      </c>
      <c r="Z1014" s="2">
        <v>26</v>
      </c>
      <c r="AA1014" s="2">
        <v>17</v>
      </c>
      <c r="AB1014" s="2">
        <v>80</v>
      </c>
      <c r="AC1014" s="2">
        <v>7</v>
      </c>
    </row>
    <row r="1015" spans="15:29" outlineLevel="1" x14ac:dyDescent="0.45">
      <c r="O1015" s="1" t="s">
        <v>194</v>
      </c>
      <c r="P1015" s="1">
        <v>1</v>
      </c>
      <c r="Q1015" s="1">
        <v>1</v>
      </c>
      <c r="R1015" s="1">
        <v>1</v>
      </c>
      <c r="S1015" s="1">
        <v>1</v>
      </c>
      <c r="T1015" s="1">
        <v>4</v>
      </c>
      <c r="U1015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34</v>
      </c>
      <c r="V1015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32</v>
      </c>
      <c r="W1015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33</v>
      </c>
      <c r="X1015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40</v>
      </c>
      <c r="Y1015" s="2">
        <f>SUM(Webometrics_RV1000[[#This Row],[THE_RV1000]:[Webometrics_RV1000]])</f>
        <v>139</v>
      </c>
      <c r="Z1015" s="1">
        <v>34</v>
      </c>
      <c r="AA1015" s="1">
        <v>32</v>
      </c>
      <c r="AB1015" s="1">
        <v>33</v>
      </c>
      <c r="AC1015" s="1">
        <v>40</v>
      </c>
    </row>
    <row r="1016" spans="15:29" outlineLevel="1" x14ac:dyDescent="0.45">
      <c r="O1016" s="2" t="s">
        <v>110</v>
      </c>
      <c r="P1016" s="2">
        <v>1</v>
      </c>
      <c r="Q1016" s="2">
        <v>1</v>
      </c>
      <c r="R1016" s="2">
        <v>1</v>
      </c>
      <c r="S1016" s="2">
        <v>1</v>
      </c>
      <c r="T1016" s="2">
        <v>4</v>
      </c>
      <c r="U1016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19</v>
      </c>
      <c r="V1016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71</v>
      </c>
      <c r="W1016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11</v>
      </c>
      <c r="X1016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47</v>
      </c>
      <c r="Y1016" s="2">
        <f>SUM(Webometrics_RV1000[[#This Row],[THE_RV1000]:[Webometrics_RV1000]])</f>
        <v>148</v>
      </c>
      <c r="Z1016" s="2">
        <v>19</v>
      </c>
      <c r="AA1016" s="2">
        <v>71</v>
      </c>
      <c r="AB1016" s="2">
        <v>11</v>
      </c>
      <c r="AC1016" s="2">
        <v>47</v>
      </c>
    </row>
    <row r="1017" spans="15:29" outlineLevel="1" x14ac:dyDescent="0.45">
      <c r="O1017" s="1" t="s">
        <v>854</v>
      </c>
      <c r="P1017" s="1">
        <v>1</v>
      </c>
      <c r="Q1017" s="1">
        <v>1</v>
      </c>
      <c r="R1017" s="1">
        <v>1</v>
      </c>
      <c r="S1017" s="1">
        <v>1</v>
      </c>
      <c r="T1017" s="1">
        <v>4</v>
      </c>
      <c r="U1017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39</v>
      </c>
      <c r="V1017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24</v>
      </c>
      <c r="W1017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23</v>
      </c>
      <c r="X1017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66</v>
      </c>
      <c r="Y1017" s="2">
        <f>SUM(Webometrics_RV1000[[#This Row],[THE_RV1000]:[Webometrics_RV1000]])</f>
        <v>152</v>
      </c>
      <c r="Z1017" s="1">
        <v>39</v>
      </c>
      <c r="AA1017" s="1">
        <v>24</v>
      </c>
      <c r="AB1017" s="1">
        <v>23</v>
      </c>
      <c r="AC1017" s="1">
        <v>66</v>
      </c>
    </row>
    <row r="1018" spans="15:29" outlineLevel="1" x14ac:dyDescent="0.45">
      <c r="O1018" s="2" t="s">
        <v>225</v>
      </c>
      <c r="P1018" s="2">
        <v>1</v>
      </c>
      <c r="Q1018" s="2">
        <v>1</v>
      </c>
      <c r="R1018" s="2">
        <v>1</v>
      </c>
      <c r="S1018" s="2">
        <v>1</v>
      </c>
      <c r="T1018" s="2">
        <v>4</v>
      </c>
      <c r="U1018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40</v>
      </c>
      <c r="V1018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44</v>
      </c>
      <c r="W1018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47</v>
      </c>
      <c r="X1018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27</v>
      </c>
      <c r="Y1018" s="2">
        <f>SUM(Webometrics_RV1000[[#This Row],[THE_RV1000]:[Webometrics_RV1000]])</f>
        <v>158</v>
      </c>
      <c r="Z1018" s="2">
        <v>40</v>
      </c>
      <c r="AA1018" s="2">
        <v>44</v>
      </c>
      <c r="AB1018" s="2">
        <v>47</v>
      </c>
      <c r="AC1018" s="2">
        <v>27</v>
      </c>
    </row>
    <row r="1019" spans="15:29" outlineLevel="1" x14ac:dyDescent="0.45">
      <c r="O1019" s="1" t="s">
        <v>296</v>
      </c>
      <c r="P1019" s="1">
        <v>1</v>
      </c>
      <c r="Q1019" s="1">
        <v>1</v>
      </c>
      <c r="R1019" s="1">
        <v>1</v>
      </c>
      <c r="S1019" s="1">
        <v>1</v>
      </c>
      <c r="T1019" s="1">
        <v>4</v>
      </c>
      <c r="U1019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54</v>
      </c>
      <c r="V1019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38</v>
      </c>
      <c r="W1019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28</v>
      </c>
      <c r="X1019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61</v>
      </c>
      <c r="Y1019" s="2">
        <f>SUM(Webometrics_RV1000[[#This Row],[THE_RV1000]:[Webometrics_RV1000]])</f>
        <v>181</v>
      </c>
      <c r="Z1019" s="1">
        <v>54</v>
      </c>
      <c r="AA1019" s="1">
        <v>38</v>
      </c>
      <c r="AB1019" s="1">
        <v>28</v>
      </c>
      <c r="AC1019" s="1">
        <v>61</v>
      </c>
    </row>
    <row r="1020" spans="15:29" outlineLevel="1" x14ac:dyDescent="0.45">
      <c r="O1020" s="2" t="s">
        <v>276</v>
      </c>
      <c r="P1020" s="2">
        <v>1</v>
      </c>
      <c r="Q1020" s="2">
        <v>1</v>
      </c>
      <c r="R1020" s="2">
        <v>1</v>
      </c>
      <c r="S1020" s="2">
        <v>1</v>
      </c>
      <c r="T1020" s="2">
        <v>4</v>
      </c>
      <c r="U1020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50</v>
      </c>
      <c r="V1020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37</v>
      </c>
      <c r="W1020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72</v>
      </c>
      <c r="X1020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25</v>
      </c>
      <c r="Y1020" s="2">
        <f>SUM(Webometrics_RV1000[[#This Row],[THE_RV1000]:[Webometrics_RV1000]])</f>
        <v>184</v>
      </c>
      <c r="Z1020" s="2">
        <v>50</v>
      </c>
      <c r="AA1020" s="2">
        <v>37</v>
      </c>
      <c r="AB1020" s="2">
        <v>72</v>
      </c>
      <c r="AC1020" s="2">
        <v>25</v>
      </c>
    </row>
    <row r="1021" spans="15:29" outlineLevel="1" x14ac:dyDescent="0.45">
      <c r="O1021" s="1" t="s">
        <v>199</v>
      </c>
      <c r="P1021" s="1">
        <v>1</v>
      </c>
      <c r="Q1021" s="1">
        <v>1</v>
      </c>
      <c r="R1021" s="1">
        <v>1</v>
      </c>
      <c r="S1021" s="1">
        <v>1</v>
      </c>
      <c r="T1021" s="1">
        <v>4</v>
      </c>
      <c r="U1021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35</v>
      </c>
      <c r="V1021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48</v>
      </c>
      <c r="W1021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37</v>
      </c>
      <c r="X1021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67</v>
      </c>
      <c r="Y1021" s="2">
        <f>SUM(Webometrics_RV1000[[#This Row],[THE_RV1000]:[Webometrics_RV1000]])</f>
        <v>187</v>
      </c>
      <c r="Z1021" s="1">
        <v>35</v>
      </c>
      <c r="AA1021" s="1">
        <v>48</v>
      </c>
      <c r="AB1021" s="1">
        <v>37</v>
      </c>
      <c r="AC1021" s="1">
        <v>67</v>
      </c>
    </row>
    <row r="1022" spans="15:29" outlineLevel="1" x14ac:dyDescent="0.45">
      <c r="O1022" s="2" t="s">
        <v>816</v>
      </c>
      <c r="P1022" s="2">
        <v>1</v>
      </c>
      <c r="Q1022" s="2">
        <v>1</v>
      </c>
      <c r="R1022" s="2">
        <v>1</v>
      </c>
      <c r="S1022" s="2">
        <v>1</v>
      </c>
      <c r="T1022" s="2">
        <v>4</v>
      </c>
      <c r="U1022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53</v>
      </c>
      <c r="V1022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47</v>
      </c>
      <c r="W1022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50</v>
      </c>
      <c r="X1022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52</v>
      </c>
      <c r="Y1022" s="2">
        <f>SUM(Webometrics_RV1000[[#This Row],[THE_RV1000]:[Webometrics_RV1000]])</f>
        <v>202</v>
      </c>
      <c r="Z1022" s="2">
        <v>53</v>
      </c>
      <c r="AA1022" s="2">
        <v>47</v>
      </c>
      <c r="AB1022" s="2">
        <v>50</v>
      </c>
      <c r="AC1022" s="2">
        <v>52</v>
      </c>
    </row>
    <row r="1023" spans="15:29" outlineLevel="1" x14ac:dyDescent="0.45">
      <c r="O1023" s="1" t="s">
        <v>572</v>
      </c>
      <c r="P1023" s="1">
        <v>1</v>
      </c>
      <c r="Q1023" s="1">
        <v>1</v>
      </c>
      <c r="R1023" s="1">
        <v>1</v>
      </c>
      <c r="S1023" s="1">
        <v>1</v>
      </c>
      <c r="T1023" s="1">
        <v>4</v>
      </c>
      <c r="U1023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54</v>
      </c>
      <c r="V1023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60</v>
      </c>
      <c r="W1023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41</v>
      </c>
      <c r="X1023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50</v>
      </c>
      <c r="Y1023" s="2">
        <f>SUM(Webometrics_RV1000[[#This Row],[THE_RV1000]:[Webometrics_RV1000]])</f>
        <v>205</v>
      </c>
      <c r="Z1023" s="1">
        <v>54</v>
      </c>
      <c r="AA1023" s="1">
        <v>60</v>
      </c>
      <c r="AB1023" s="1">
        <v>41</v>
      </c>
      <c r="AC1023" s="1">
        <v>50</v>
      </c>
    </row>
    <row r="1024" spans="15:29" outlineLevel="1" x14ac:dyDescent="0.45">
      <c r="O1024" s="2" t="s">
        <v>253</v>
      </c>
      <c r="P1024" s="2">
        <v>1</v>
      </c>
      <c r="Q1024" s="2">
        <v>1</v>
      </c>
      <c r="R1024" s="2">
        <v>1</v>
      </c>
      <c r="S1024" s="2">
        <v>1</v>
      </c>
      <c r="T1024" s="2">
        <v>4</v>
      </c>
      <c r="U1024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46</v>
      </c>
      <c r="V1024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73</v>
      </c>
      <c r="W1024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31</v>
      </c>
      <c r="X1024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60</v>
      </c>
      <c r="Y1024" s="2">
        <f>SUM(Webometrics_RV1000[[#This Row],[THE_RV1000]:[Webometrics_RV1000]])</f>
        <v>210</v>
      </c>
      <c r="Z1024" s="2">
        <v>46</v>
      </c>
      <c r="AA1024" s="2">
        <v>73</v>
      </c>
      <c r="AB1024" s="2">
        <v>31</v>
      </c>
      <c r="AC1024" s="2">
        <v>60</v>
      </c>
    </row>
    <row r="1025" spans="15:29" outlineLevel="1" x14ac:dyDescent="0.45">
      <c r="O1025" s="1" t="s">
        <v>355</v>
      </c>
      <c r="P1025" s="1">
        <v>1</v>
      </c>
      <c r="Q1025" s="1">
        <v>1</v>
      </c>
      <c r="R1025" s="1">
        <v>1</v>
      </c>
      <c r="S1025" s="1">
        <v>1</v>
      </c>
      <c r="T1025" s="1">
        <v>4</v>
      </c>
      <c r="U1025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67</v>
      </c>
      <c r="V1025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36</v>
      </c>
      <c r="W1025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42</v>
      </c>
      <c r="X1025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68</v>
      </c>
      <c r="Y1025" s="2">
        <f>SUM(Webometrics_RV1000[[#This Row],[THE_RV1000]:[Webometrics_RV1000]])</f>
        <v>213</v>
      </c>
      <c r="Z1025" s="1">
        <v>67</v>
      </c>
      <c r="AA1025" s="1">
        <v>36</v>
      </c>
      <c r="AB1025" s="1">
        <v>42</v>
      </c>
      <c r="AC1025" s="1">
        <v>68</v>
      </c>
    </row>
    <row r="1026" spans="15:29" outlineLevel="1" x14ac:dyDescent="0.45">
      <c r="O1026" s="2" t="s">
        <v>266</v>
      </c>
      <c r="P1026" s="2">
        <v>1</v>
      </c>
      <c r="Q1026" s="2">
        <v>1</v>
      </c>
      <c r="R1026" s="2">
        <v>1</v>
      </c>
      <c r="S1026" s="2">
        <v>1</v>
      </c>
      <c r="T1026" s="2">
        <v>4</v>
      </c>
      <c r="U1026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48</v>
      </c>
      <c r="V1026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49</v>
      </c>
      <c r="W1026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85</v>
      </c>
      <c r="X1026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33</v>
      </c>
      <c r="Y1026" s="2">
        <f>SUM(Webometrics_RV1000[[#This Row],[THE_RV1000]:[Webometrics_RV1000]])</f>
        <v>215</v>
      </c>
      <c r="Z1026" s="2">
        <v>48</v>
      </c>
      <c r="AA1026" s="2">
        <v>49</v>
      </c>
      <c r="AB1026" s="2">
        <v>85</v>
      </c>
      <c r="AC1026" s="2">
        <v>33</v>
      </c>
    </row>
    <row r="1027" spans="15:29" outlineLevel="1" x14ac:dyDescent="0.45">
      <c r="O1027" s="1" t="s">
        <v>412</v>
      </c>
      <c r="P1027" s="1">
        <v>1</v>
      </c>
      <c r="Q1027" s="1">
        <v>1</v>
      </c>
      <c r="R1027" s="1">
        <v>1</v>
      </c>
      <c r="S1027" s="1">
        <v>1</v>
      </c>
      <c r="T1027" s="1">
        <v>4</v>
      </c>
      <c r="U1027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81</v>
      </c>
      <c r="V1027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33</v>
      </c>
      <c r="W1027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83</v>
      </c>
      <c r="X1027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20</v>
      </c>
      <c r="Y1027" s="2">
        <f>SUM(Webometrics_RV1000[[#This Row],[THE_RV1000]:[Webometrics_RV1000]])</f>
        <v>217</v>
      </c>
      <c r="Z1027" s="1">
        <v>81</v>
      </c>
      <c r="AA1027" s="1">
        <v>33</v>
      </c>
      <c r="AB1027" s="1">
        <v>83</v>
      </c>
      <c r="AC1027" s="1">
        <v>20</v>
      </c>
    </row>
    <row r="1028" spans="15:29" outlineLevel="1" x14ac:dyDescent="0.45">
      <c r="O1028" s="2" t="s">
        <v>286</v>
      </c>
      <c r="P1028" s="2">
        <v>1</v>
      </c>
      <c r="Q1028" s="2">
        <v>1</v>
      </c>
      <c r="R1028" s="2">
        <v>1</v>
      </c>
      <c r="S1028" s="2">
        <v>1</v>
      </c>
      <c r="T1028" s="2">
        <v>4</v>
      </c>
      <c r="U1028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52</v>
      </c>
      <c r="V1028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54</v>
      </c>
      <c r="W1028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46</v>
      </c>
      <c r="X1028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69</v>
      </c>
      <c r="Y1028" s="2">
        <f>SUM(Webometrics_RV1000[[#This Row],[THE_RV1000]:[Webometrics_RV1000]])</f>
        <v>221</v>
      </c>
      <c r="Z1028" s="2">
        <v>52</v>
      </c>
      <c r="AA1028" s="2">
        <v>54</v>
      </c>
      <c r="AB1028" s="2">
        <v>46</v>
      </c>
      <c r="AC1028" s="2">
        <v>69</v>
      </c>
    </row>
    <row r="1029" spans="15:29" outlineLevel="1" x14ac:dyDescent="0.45">
      <c r="O1029" s="1" t="s">
        <v>810</v>
      </c>
      <c r="P1029" s="1">
        <v>1</v>
      </c>
      <c r="Q1029" s="1">
        <v>1</v>
      </c>
      <c r="R1029" s="1">
        <v>1</v>
      </c>
      <c r="S1029" s="1">
        <v>1</v>
      </c>
      <c r="T1029" s="1">
        <v>4</v>
      </c>
      <c r="U1029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71</v>
      </c>
      <c r="V1029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64</v>
      </c>
      <c r="W1029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45</v>
      </c>
      <c r="X1029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41</v>
      </c>
      <c r="Y1029" s="2">
        <f>SUM(Webometrics_RV1000[[#This Row],[THE_RV1000]:[Webometrics_RV1000]])</f>
        <v>221</v>
      </c>
      <c r="Z1029" s="1">
        <v>71</v>
      </c>
      <c r="AA1029" s="1">
        <v>64</v>
      </c>
      <c r="AB1029" s="1">
        <v>45</v>
      </c>
      <c r="AC1029" s="1">
        <v>41</v>
      </c>
    </row>
    <row r="1030" spans="15:29" outlineLevel="1" x14ac:dyDescent="0.45">
      <c r="O1030" s="2" t="s">
        <v>179</v>
      </c>
      <c r="P1030" s="2">
        <v>1</v>
      </c>
      <c r="Q1030" s="2">
        <v>1</v>
      </c>
      <c r="R1030" s="2">
        <v>1</v>
      </c>
      <c r="S1030" s="2">
        <v>1</v>
      </c>
      <c r="T1030" s="2">
        <v>4</v>
      </c>
      <c r="U1030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31</v>
      </c>
      <c r="V1030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96</v>
      </c>
      <c r="W1030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21</v>
      </c>
      <c r="X1030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75</v>
      </c>
      <c r="Y1030" s="2">
        <f>SUM(Webometrics_RV1000[[#This Row],[THE_RV1000]:[Webometrics_RV1000]])</f>
        <v>223</v>
      </c>
      <c r="Z1030" s="2">
        <v>31</v>
      </c>
      <c r="AA1030" s="2">
        <v>96</v>
      </c>
      <c r="AB1030" s="2">
        <v>21</v>
      </c>
      <c r="AC1030" s="2">
        <v>75</v>
      </c>
    </row>
    <row r="1031" spans="15:29" outlineLevel="1" x14ac:dyDescent="0.45">
      <c r="O1031" s="1" t="s">
        <v>614</v>
      </c>
      <c r="P1031" s="1">
        <v>1</v>
      </c>
      <c r="Q1031" s="1">
        <v>1</v>
      </c>
      <c r="R1031" s="1">
        <v>1</v>
      </c>
      <c r="S1031" s="1">
        <v>1</v>
      </c>
      <c r="T1031" s="1">
        <v>4</v>
      </c>
      <c r="U1031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36</v>
      </c>
      <c r="V1031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88</v>
      </c>
      <c r="W1031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19</v>
      </c>
      <c r="X1031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87</v>
      </c>
      <c r="Y1031" s="2">
        <f>SUM(Webometrics_RV1000[[#This Row],[THE_RV1000]:[Webometrics_RV1000]])</f>
        <v>230</v>
      </c>
      <c r="Z1031" s="1">
        <v>36</v>
      </c>
      <c r="AA1031" s="1">
        <v>88</v>
      </c>
      <c r="AB1031" s="1">
        <v>19</v>
      </c>
      <c r="AC1031" s="1">
        <v>87</v>
      </c>
    </row>
    <row r="1032" spans="15:29" outlineLevel="1" x14ac:dyDescent="0.45">
      <c r="O1032" s="2" t="s">
        <v>245</v>
      </c>
      <c r="P1032" s="2">
        <v>1</v>
      </c>
      <c r="Q1032" s="2">
        <v>1</v>
      </c>
      <c r="R1032" s="2">
        <v>1</v>
      </c>
      <c r="S1032" s="2">
        <v>1</v>
      </c>
      <c r="T1032" s="2">
        <v>4</v>
      </c>
      <c r="U1032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44</v>
      </c>
      <c r="V1032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75</v>
      </c>
      <c r="W1032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57</v>
      </c>
      <c r="X1032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57</v>
      </c>
      <c r="Y1032" s="2">
        <f>SUM(Webometrics_RV1000[[#This Row],[THE_RV1000]:[Webometrics_RV1000]])</f>
        <v>233</v>
      </c>
      <c r="Z1032" s="2">
        <v>44</v>
      </c>
      <c r="AA1032" s="2">
        <v>75</v>
      </c>
      <c r="AB1032" s="2">
        <v>57</v>
      </c>
      <c r="AC1032" s="2">
        <v>57</v>
      </c>
    </row>
    <row r="1033" spans="15:29" outlineLevel="1" x14ac:dyDescent="0.45">
      <c r="O1033" s="1" t="s">
        <v>337</v>
      </c>
      <c r="P1033" s="1">
        <v>1</v>
      </c>
      <c r="Q1033" s="1">
        <v>1</v>
      </c>
      <c r="R1033" s="1">
        <v>1</v>
      </c>
      <c r="S1033" s="1">
        <v>1</v>
      </c>
      <c r="T1033" s="1">
        <v>4</v>
      </c>
      <c r="U1033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62</v>
      </c>
      <c r="V1033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79</v>
      </c>
      <c r="W1033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30</v>
      </c>
      <c r="X1033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79</v>
      </c>
      <c r="Y1033" s="2">
        <f>SUM(Webometrics_RV1000[[#This Row],[THE_RV1000]:[Webometrics_RV1000]])</f>
        <v>250</v>
      </c>
      <c r="Z1033" s="1">
        <v>62</v>
      </c>
      <c r="AA1033" s="1">
        <v>79</v>
      </c>
      <c r="AB1033" s="1">
        <v>30</v>
      </c>
      <c r="AC1033" s="1">
        <v>79</v>
      </c>
    </row>
    <row r="1034" spans="15:29" outlineLevel="1" x14ac:dyDescent="0.45">
      <c r="O1034" s="2" t="s">
        <v>306</v>
      </c>
      <c r="P1034" s="2">
        <v>1</v>
      </c>
      <c r="Q1034" s="2">
        <v>1</v>
      </c>
      <c r="R1034" s="2">
        <v>1</v>
      </c>
      <c r="S1034" s="2">
        <v>1</v>
      </c>
      <c r="T1034" s="2">
        <v>4</v>
      </c>
      <c r="U1034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56</v>
      </c>
      <c r="V1034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98</v>
      </c>
      <c r="W1034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29</v>
      </c>
      <c r="X1034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96</v>
      </c>
      <c r="Y1034" s="2">
        <f>SUM(Webometrics_RV1000[[#This Row],[THE_RV1000]:[Webometrics_RV1000]])</f>
        <v>279</v>
      </c>
      <c r="Z1034" s="2">
        <v>56</v>
      </c>
      <c r="AA1034" s="2">
        <v>98</v>
      </c>
      <c r="AB1034" s="2">
        <v>29</v>
      </c>
      <c r="AC1034" s="2">
        <v>96</v>
      </c>
    </row>
    <row r="1035" spans="15:29" outlineLevel="1" x14ac:dyDescent="0.45">
      <c r="O1035" s="1" t="s">
        <v>332</v>
      </c>
      <c r="P1035" s="1">
        <v>1</v>
      </c>
      <c r="Q1035" s="1">
        <v>1</v>
      </c>
      <c r="R1035" s="1">
        <v>1</v>
      </c>
      <c r="S1035" s="1">
        <v>1</v>
      </c>
      <c r="T1035" s="1">
        <v>4</v>
      </c>
      <c r="U1035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61</v>
      </c>
      <c r="V1035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99</v>
      </c>
      <c r="W1035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63</v>
      </c>
      <c r="X1035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80</v>
      </c>
      <c r="Y1035" s="2">
        <f>SUM(Webometrics_RV1000[[#This Row],[THE_RV1000]:[Webometrics_RV1000]])</f>
        <v>303</v>
      </c>
      <c r="Z1035" s="1">
        <v>61</v>
      </c>
      <c r="AA1035" s="1">
        <v>99</v>
      </c>
      <c r="AB1035" s="1">
        <v>63</v>
      </c>
      <c r="AC1035" s="1">
        <v>80</v>
      </c>
    </row>
    <row r="1036" spans="15:29" outlineLevel="1" x14ac:dyDescent="0.45">
      <c r="O1036" s="2" t="s">
        <v>425</v>
      </c>
      <c r="P1036" s="2">
        <v>1</v>
      </c>
      <c r="Q1036" s="2">
        <v>1</v>
      </c>
      <c r="R1036" s="2">
        <v>1</v>
      </c>
      <c r="S1036" s="2">
        <v>1</v>
      </c>
      <c r="T1036" s="2">
        <v>4</v>
      </c>
      <c r="U1036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82</v>
      </c>
      <c r="V1036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59</v>
      </c>
      <c r="W1036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83</v>
      </c>
      <c r="X1036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92</v>
      </c>
      <c r="Y1036" s="2">
        <f>SUM(Webometrics_RV1000[[#This Row],[THE_RV1000]:[Webometrics_RV1000]])</f>
        <v>316</v>
      </c>
      <c r="Z1036" s="2">
        <v>82</v>
      </c>
      <c r="AA1036" s="2">
        <v>59</v>
      </c>
      <c r="AB1036" s="2">
        <v>83</v>
      </c>
      <c r="AC1036" s="2">
        <v>92</v>
      </c>
    </row>
    <row r="1037" spans="15:29" outlineLevel="1" x14ac:dyDescent="0.45">
      <c r="O1037" s="1" t="s">
        <v>385</v>
      </c>
      <c r="P1037" s="1">
        <v>1</v>
      </c>
      <c r="Q1037" s="1">
        <v>1</v>
      </c>
      <c r="R1037" s="1">
        <v>1</v>
      </c>
      <c r="S1037" s="1">
        <v>1</v>
      </c>
      <c r="T1037" s="1">
        <v>4</v>
      </c>
      <c r="U1037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74</v>
      </c>
      <c r="V1037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62</v>
      </c>
      <c r="W1037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94</v>
      </c>
      <c r="X1037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95</v>
      </c>
      <c r="Y1037" s="2">
        <f>SUM(Webometrics_RV1000[[#This Row],[THE_RV1000]:[Webometrics_RV1000]])</f>
        <v>325</v>
      </c>
      <c r="Z1037" s="1">
        <v>74</v>
      </c>
      <c r="AA1037" s="1">
        <v>62</v>
      </c>
      <c r="AB1037" s="1">
        <v>94</v>
      </c>
      <c r="AC1037" s="1">
        <v>95</v>
      </c>
    </row>
    <row r="1038" spans="15:29" outlineLevel="1" x14ac:dyDescent="0.45">
      <c r="O1038" s="2" t="s">
        <v>313</v>
      </c>
      <c r="P1038" s="2">
        <v>1</v>
      </c>
      <c r="Q1038" s="2">
        <v>1</v>
      </c>
      <c r="R1038" s="2">
        <v>0</v>
      </c>
      <c r="S1038" s="2">
        <v>1</v>
      </c>
      <c r="T1038" s="2">
        <v>3</v>
      </c>
      <c r="U1038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57</v>
      </c>
      <c r="V1038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27</v>
      </c>
      <c r="W1038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250</v>
      </c>
      <c r="X1038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42</v>
      </c>
      <c r="Y1038" s="2">
        <f>SUM(Webometrics_RV1000[[#This Row],[THE_RV1000]:[Webometrics_RV1000]])</f>
        <v>376</v>
      </c>
      <c r="Z1038" s="2">
        <v>57</v>
      </c>
      <c r="AA1038" s="2">
        <v>27</v>
      </c>
      <c r="AB1038" s="2">
        <v>0</v>
      </c>
      <c r="AC1038" s="2">
        <v>42</v>
      </c>
    </row>
    <row r="1039" spans="15:29" outlineLevel="1" x14ac:dyDescent="0.45">
      <c r="O1039" s="1" t="s">
        <v>366</v>
      </c>
      <c r="P1039" s="1">
        <v>1</v>
      </c>
      <c r="Q1039" s="1">
        <v>1</v>
      </c>
      <c r="R1039" s="1">
        <v>0</v>
      </c>
      <c r="S1039" s="1">
        <v>1</v>
      </c>
      <c r="T1039" s="1">
        <v>3</v>
      </c>
      <c r="U1039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69</v>
      </c>
      <c r="V1039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29</v>
      </c>
      <c r="W1039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250</v>
      </c>
      <c r="X1039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28</v>
      </c>
      <c r="Y1039" s="2">
        <f>SUM(Webometrics_RV1000[[#This Row],[THE_RV1000]:[Webometrics_RV1000]])</f>
        <v>376</v>
      </c>
      <c r="Z1039" s="1">
        <v>69</v>
      </c>
      <c r="AA1039" s="1">
        <v>29</v>
      </c>
      <c r="AB1039" s="1">
        <v>0</v>
      </c>
      <c r="AC1039" s="1">
        <v>28</v>
      </c>
    </row>
    <row r="1040" spans="15:29" outlineLevel="1" x14ac:dyDescent="0.45">
      <c r="O1040" s="2" t="s">
        <v>162</v>
      </c>
      <c r="P1040" s="2">
        <v>1</v>
      </c>
      <c r="Q1040" s="2">
        <v>0</v>
      </c>
      <c r="R1040" s="2">
        <v>1</v>
      </c>
      <c r="S1040" s="2">
        <v>1</v>
      </c>
      <c r="T1040" s="2">
        <v>3</v>
      </c>
      <c r="U1040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28</v>
      </c>
      <c r="V1040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250</v>
      </c>
      <c r="W1040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52</v>
      </c>
      <c r="X1040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49</v>
      </c>
      <c r="Y1040" s="2">
        <f>SUM(Webometrics_RV1000[[#This Row],[THE_RV1000]:[Webometrics_RV1000]])</f>
        <v>379</v>
      </c>
      <c r="Z1040" s="2">
        <v>28</v>
      </c>
      <c r="AA1040" s="2">
        <v>0</v>
      </c>
      <c r="AB1040" s="2">
        <v>52</v>
      </c>
      <c r="AC1040" s="2">
        <v>49</v>
      </c>
    </row>
    <row r="1041" spans="15:29" outlineLevel="1" x14ac:dyDescent="0.45">
      <c r="O1041" s="1" t="s">
        <v>230</v>
      </c>
      <c r="P1041" s="1">
        <v>1</v>
      </c>
      <c r="Q1041" s="1">
        <v>0</v>
      </c>
      <c r="R1041" s="1">
        <v>1</v>
      </c>
      <c r="S1041" s="1">
        <v>1</v>
      </c>
      <c r="T1041" s="1">
        <v>3</v>
      </c>
      <c r="U1041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41</v>
      </c>
      <c r="V1041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250</v>
      </c>
      <c r="W1041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16</v>
      </c>
      <c r="X1041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90</v>
      </c>
      <c r="Y1041" s="2">
        <f>SUM(Webometrics_RV1000[[#This Row],[THE_RV1000]:[Webometrics_RV1000]])</f>
        <v>397</v>
      </c>
      <c r="Z1041" s="1">
        <v>41</v>
      </c>
      <c r="AA1041" s="1">
        <v>0</v>
      </c>
      <c r="AB1041" s="1">
        <v>16</v>
      </c>
      <c r="AC1041" s="1">
        <v>90</v>
      </c>
    </row>
    <row r="1042" spans="15:29" outlineLevel="1" x14ac:dyDescent="0.45">
      <c r="O1042" s="2" t="s">
        <v>347</v>
      </c>
      <c r="P1042" s="2">
        <v>1</v>
      </c>
      <c r="Q1042" s="2">
        <v>1</v>
      </c>
      <c r="R1042" s="2">
        <v>0</v>
      </c>
      <c r="S1042" s="2">
        <v>1</v>
      </c>
      <c r="T1042" s="2">
        <v>3</v>
      </c>
      <c r="U1042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65</v>
      </c>
      <c r="V1042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53</v>
      </c>
      <c r="W1042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250</v>
      </c>
      <c r="X1042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31</v>
      </c>
      <c r="Y1042" s="2">
        <f>SUM(Webometrics_RV1000[[#This Row],[THE_RV1000]:[Webometrics_RV1000]])</f>
        <v>399</v>
      </c>
      <c r="Z1042" s="2">
        <v>65</v>
      </c>
      <c r="AA1042" s="2">
        <v>53</v>
      </c>
      <c r="AB1042" s="2">
        <v>0</v>
      </c>
      <c r="AC1042" s="2">
        <v>31</v>
      </c>
    </row>
    <row r="1043" spans="15:29" outlineLevel="1" x14ac:dyDescent="0.45">
      <c r="O1043" s="1" t="s">
        <v>250</v>
      </c>
      <c r="P1043" s="1">
        <v>1</v>
      </c>
      <c r="Q1043" s="1">
        <v>0</v>
      </c>
      <c r="R1043" s="1">
        <v>1</v>
      </c>
      <c r="S1043" s="1">
        <v>1</v>
      </c>
      <c r="T1043" s="1">
        <v>3</v>
      </c>
      <c r="U1043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45</v>
      </c>
      <c r="V1043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250</v>
      </c>
      <c r="W1043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38</v>
      </c>
      <c r="X1043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81</v>
      </c>
      <c r="Y1043" s="2">
        <f>SUM(Webometrics_RV1000[[#This Row],[THE_RV1000]:[Webometrics_RV1000]])</f>
        <v>414</v>
      </c>
      <c r="Z1043" s="1">
        <v>45</v>
      </c>
      <c r="AA1043" s="1">
        <v>0</v>
      </c>
      <c r="AB1043" s="1">
        <v>38</v>
      </c>
      <c r="AC1043" s="1">
        <v>81</v>
      </c>
    </row>
    <row r="1044" spans="15:29" outlineLevel="1" x14ac:dyDescent="0.45">
      <c r="O1044" s="2" t="s">
        <v>352</v>
      </c>
      <c r="P1044" s="2">
        <v>1</v>
      </c>
      <c r="Q1044" s="2">
        <v>1</v>
      </c>
      <c r="R1044" s="2">
        <v>0</v>
      </c>
      <c r="S1044" s="2">
        <v>1</v>
      </c>
      <c r="T1044" s="2">
        <v>3</v>
      </c>
      <c r="U1044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66</v>
      </c>
      <c r="V1044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54</v>
      </c>
      <c r="W1044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250</v>
      </c>
      <c r="X1044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65</v>
      </c>
      <c r="Y1044" s="2">
        <f>SUM(Webometrics_RV1000[[#This Row],[THE_RV1000]:[Webometrics_RV1000]])</f>
        <v>435</v>
      </c>
      <c r="Z1044" s="2">
        <v>66</v>
      </c>
      <c r="AA1044" s="2">
        <v>54</v>
      </c>
      <c r="AB1044" s="2">
        <v>0</v>
      </c>
      <c r="AC1044" s="2">
        <v>65</v>
      </c>
    </row>
    <row r="1045" spans="15:29" outlineLevel="1" x14ac:dyDescent="0.45">
      <c r="O1045" s="1" t="s">
        <v>216</v>
      </c>
      <c r="P1045" s="1">
        <v>1</v>
      </c>
      <c r="Q1045" s="1">
        <v>0</v>
      </c>
      <c r="R1045" s="1">
        <v>1</v>
      </c>
      <c r="S1045" s="1">
        <v>1</v>
      </c>
      <c r="T1045" s="1">
        <v>3</v>
      </c>
      <c r="U1045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38</v>
      </c>
      <c r="V1045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250</v>
      </c>
      <c r="W1045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88</v>
      </c>
      <c r="X1045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62</v>
      </c>
      <c r="Y1045" s="2">
        <f>SUM(Webometrics_RV1000[[#This Row],[THE_RV1000]:[Webometrics_RV1000]])</f>
        <v>438</v>
      </c>
      <c r="Z1045" s="1">
        <v>38</v>
      </c>
      <c r="AA1045" s="1">
        <v>0</v>
      </c>
      <c r="AB1045" s="1">
        <v>88</v>
      </c>
      <c r="AC1045" s="1">
        <v>62</v>
      </c>
    </row>
    <row r="1046" spans="15:29" outlineLevel="1" x14ac:dyDescent="0.45">
      <c r="O1046" s="2" t="s">
        <v>326</v>
      </c>
      <c r="P1046" s="2">
        <v>1</v>
      </c>
      <c r="Q1046" s="2">
        <v>0</v>
      </c>
      <c r="R1046" s="2">
        <v>1</v>
      </c>
      <c r="S1046" s="2">
        <v>1</v>
      </c>
      <c r="T1046" s="2">
        <v>3</v>
      </c>
      <c r="U1046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60</v>
      </c>
      <c r="V1046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250</v>
      </c>
      <c r="W1046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58</v>
      </c>
      <c r="X1046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73</v>
      </c>
      <c r="Y1046" s="2">
        <f>SUM(Webometrics_RV1000[[#This Row],[THE_RV1000]:[Webometrics_RV1000]])</f>
        <v>441</v>
      </c>
      <c r="Z1046" s="2">
        <v>60</v>
      </c>
      <c r="AA1046" s="2">
        <v>0</v>
      </c>
      <c r="AB1046" s="2">
        <v>58</v>
      </c>
      <c r="AC1046" s="2">
        <v>73</v>
      </c>
    </row>
    <row r="1047" spans="15:29" outlineLevel="1" x14ac:dyDescent="0.45">
      <c r="O1047" s="1" t="s">
        <v>808</v>
      </c>
      <c r="P1047" s="1">
        <v>1</v>
      </c>
      <c r="Q1047" s="1">
        <v>1</v>
      </c>
      <c r="R1047" s="1">
        <v>0</v>
      </c>
      <c r="S1047" s="1">
        <v>1</v>
      </c>
      <c r="T1047" s="1">
        <v>3</v>
      </c>
      <c r="U1047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95</v>
      </c>
      <c r="V1047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61</v>
      </c>
      <c r="W1047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250</v>
      </c>
      <c r="X1047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38</v>
      </c>
      <c r="Y1047" s="2">
        <f>SUM(Webometrics_RV1000[[#This Row],[THE_RV1000]:[Webometrics_RV1000]])</f>
        <v>444</v>
      </c>
      <c r="Z1047" s="1">
        <v>95</v>
      </c>
      <c r="AA1047" s="1">
        <v>61</v>
      </c>
      <c r="AB1047" s="1">
        <v>0</v>
      </c>
      <c r="AC1047" s="1">
        <v>38</v>
      </c>
    </row>
    <row r="1048" spans="15:29" outlineLevel="1" x14ac:dyDescent="0.45">
      <c r="O1048" s="2" t="s">
        <v>545</v>
      </c>
      <c r="P1048" s="2">
        <v>0</v>
      </c>
      <c r="Q1048" s="2">
        <v>1</v>
      </c>
      <c r="R1048" s="2">
        <v>1</v>
      </c>
      <c r="S1048" s="2">
        <v>1</v>
      </c>
      <c r="T1048" s="2">
        <v>3</v>
      </c>
      <c r="U1048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250</v>
      </c>
      <c r="V1048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39</v>
      </c>
      <c r="W1048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82</v>
      </c>
      <c r="X1048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74</v>
      </c>
      <c r="Y1048" s="2">
        <f>SUM(Webometrics_RV1000[[#This Row],[THE_RV1000]:[Webometrics_RV1000]])</f>
        <v>445</v>
      </c>
      <c r="Z1048" s="2">
        <v>0</v>
      </c>
      <c r="AA1048" s="2">
        <v>39</v>
      </c>
      <c r="AB1048" s="2">
        <v>82</v>
      </c>
      <c r="AC1048" s="2">
        <v>74</v>
      </c>
    </row>
    <row r="1049" spans="15:29" outlineLevel="1" x14ac:dyDescent="0.45">
      <c r="O1049" s="1" t="s">
        <v>829</v>
      </c>
      <c r="P1049" s="1">
        <v>1</v>
      </c>
      <c r="Q1049" s="1">
        <v>1</v>
      </c>
      <c r="R1049" s="1">
        <v>0</v>
      </c>
      <c r="S1049" s="1">
        <v>1</v>
      </c>
      <c r="T1049" s="1">
        <v>3</v>
      </c>
      <c r="U1049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64</v>
      </c>
      <c r="V1049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57</v>
      </c>
      <c r="W1049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250</v>
      </c>
      <c r="X1049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76</v>
      </c>
      <c r="Y1049" s="2">
        <f>SUM(Webometrics_RV1000[[#This Row],[THE_RV1000]:[Webometrics_RV1000]])</f>
        <v>447</v>
      </c>
      <c r="Z1049" s="1">
        <v>64</v>
      </c>
      <c r="AA1049" s="1">
        <v>57</v>
      </c>
      <c r="AB1049" s="1">
        <v>0</v>
      </c>
      <c r="AC1049" s="1">
        <v>76</v>
      </c>
    </row>
    <row r="1050" spans="15:29" outlineLevel="1" x14ac:dyDescent="0.45">
      <c r="O1050" s="2" t="s">
        <v>471</v>
      </c>
      <c r="P1050" s="2">
        <v>1</v>
      </c>
      <c r="Q1050" s="2">
        <v>1</v>
      </c>
      <c r="R1050" s="2">
        <v>0</v>
      </c>
      <c r="S1050" s="2">
        <v>1</v>
      </c>
      <c r="T1050" s="2">
        <v>3</v>
      </c>
      <c r="U1050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98</v>
      </c>
      <c r="V1050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64</v>
      </c>
      <c r="W1050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250</v>
      </c>
      <c r="X1050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58</v>
      </c>
      <c r="Y1050" s="2">
        <f>SUM(Webometrics_RV1000[[#This Row],[THE_RV1000]:[Webometrics_RV1000]])</f>
        <v>470</v>
      </c>
      <c r="Z1050" s="2">
        <v>98</v>
      </c>
      <c r="AA1050" s="2">
        <v>64</v>
      </c>
      <c r="AB1050" s="2">
        <v>0</v>
      </c>
      <c r="AC1050" s="2">
        <v>58</v>
      </c>
    </row>
    <row r="1051" spans="15:29" outlineLevel="1" x14ac:dyDescent="0.45">
      <c r="O1051" s="1" t="s">
        <v>369</v>
      </c>
      <c r="P1051" s="1">
        <v>1</v>
      </c>
      <c r="Q1051" s="1">
        <v>0</v>
      </c>
      <c r="R1051" s="1">
        <v>1</v>
      </c>
      <c r="S1051" s="1">
        <v>1</v>
      </c>
      <c r="T1051" s="1">
        <v>3</v>
      </c>
      <c r="U1051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70</v>
      </c>
      <c r="V1051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250</v>
      </c>
      <c r="W1051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61</v>
      </c>
      <c r="X1051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94</v>
      </c>
      <c r="Y1051" s="2">
        <f>SUM(Webometrics_RV1000[[#This Row],[THE_RV1000]:[Webometrics_RV1000]])</f>
        <v>475</v>
      </c>
      <c r="Z1051" s="1">
        <v>70</v>
      </c>
      <c r="AA1051" s="1">
        <v>0</v>
      </c>
      <c r="AB1051" s="1">
        <v>61</v>
      </c>
      <c r="AC1051" s="1">
        <v>94</v>
      </c>
    </row>
    <row r="1052" spans="15:29" outlineLevel="1" x14ac:dyDescent="0.45">
      <c r="O1052" s="2" t="s">
        <v>388</v>
      </c>
      <c r="P1052" s="2">
        <v>1</v>
      </c>
      <c r="Q1052" s="2">
        <v>1</v>
      </c>
      <c r="R1052" s="2">
        <v>0</v>
      </c>
      <c r="S1052" s="2">
        <v>1</v>
      </c>
      <c r="T1052" s="2">
        <v>3</v>
      </c>
      <c r="U1052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75</v>
      </c>
      <c r="V1052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66</v>
      </c>
      <c r="W1052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250</v>
      </c>
      <c r="X1052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84</v>
      </c>
      <c r="Y1052" s="2">
        <f>SUM(Webometrics_RV1000[[#This Row],[THE_RV1000]:[Webometrics_RV1000]])</f>
        <v>475</v>
      </c>
      <c r="Z1052" s="2">
        <v>75</v>
      </c>
      <c r="AA1052" s="2">
        <v>66</v>
      </c>
      <c r="AB1052" s="2">
        <v>0</v>
      </c>
      <c r="AC1052" s="2">
        <v>84</v>
      </c>
    </row>
    <row r="1053" spans="15:29" outlineLevel="1" x14ac:dyDescent="0.45">
      <c r="O1053" s="1" t="s">
        <v>474</v>
      </c>
      <c r="P1053" s="1">
        <v>1</v>
      </c>
      <c r="Q1053" s="1">
        <v>0</v>
      </c>
      <c r="R1053" s="1">
        <v>1</v>
      </c>
      <c r="S1053" s="1">
        <v>1</v>
      </c>
      <c r="T1053" s="1">
        <v>3</v>
      </c>
      <c r="U1053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99</v>
      </c>
      <c r="V1053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250</v>
      </c>
      <c r="W1053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54</v>
      </c>
      <c r="X1053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89</v>
      </c>
      <c r="Y1053" s="2">
        <f>SUM(Webometrics_RV1000[[#This Row],[THE_RV1000]:[Webometrics_RV1000]])</f>
        <v>492</v>
      </c>
      <c r="Z1053" s="1">
        <v>99</v>
      </c>
      <c r="AA1053" s="1">
        <v>0</v>
      </c>
      <c r="AB1053" s="1">
        <v>54</v>
      </c>
      <c r="AC1053" s="1">
        <v>89</v>
      </c>
    </row>
    <row r="1054" spans="15:29" outlineLevel="1" x14ac:dyDescent="0.45">
      <c r="O1054" s="2" t="s">
        <v>809</v>
      </c>
      <c r="P1054" s="2">
        <v>0</v>
      </c>
      <c r="Q1054" s="2">
        <v>1</v>
      </c>
      <c r="R1054" s="2">
        <v>0</v>
      </c>
      <c r="S1054" s="2">
        <v>1</v>
      </c>
      <c r="T1054" s="2">
        <v>2</v>
      </c>
      <c r="U1054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250</v>
      </c>
      <c r="V1054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19</v>
      </c>
      <c r="W1054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250</v>
      </c>
      <c r="X1054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39</v>
      </c>
      <c r="Y1054" s="2">
        <f>SUM(Webometrics_RV1000[[#This Row],[THE_RV1000]:[Webometrics_RV1000]])</f>
        <v>558</v>
      </c>
      <c r="Z1054" s="2">
        <v>0</v>
      </c>
      <c r="AA1054" s="2">
        <v>19</v>
      </c>
      <c r="AB1054" s="2">
        <v>0</v>
      </c>
      <c r="AC1054" s="2">
        <v>39</v>
      </c>
    </row>
    <row r="1055" spans="15:29" outlineLevel="1" x14ac:dyDescent="0.45">
      <c r="O1055" s="1" t="s">
        <v>556</v>
      </c>
      <c r="P1055" s="1">
        <v>0</v>
      </c>
      <c r="Q1055" s="1">
        <v>1</v>
      </c>
      <c r="R1055" s="1">
        <v>0</v>
      </c>
      <c r="S1055" s="1">
        <v>1</v>
      </c>
      <c r="T1055" s="1">
        <v>2</v>
      </c>
      <c r="U1055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250</v>
      </c>
      <c r="V1055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44</v>
      </c>
      <c r="W1055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250</v>
      </c>
      <c r="X1055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18</v>
      </c>
      <c r="Y1055" s="2">
        <f>SUM(Webometrics_RV1000[[#This Row],[THE_RV1000]:[Webometrics_RV1000]])</f>
        <v>562</v>
      </c>
      <c r="Z1055" s="1">
        <v>0</v>
      </c>
      <c r="AA1055" s="1">
        <v>44</v>
      </c>
      <c r="AB1055" s="1">
        <v>0</v>
      </c>
      <c r="AC1055" s="1">
        <v>18</v>
      </c>
    </row>
    <row r="1056" spans="15:29" outlineLevel="1" x14ac:dyDescent="0.45">
      <c r="O1056" s="2" t="s">
        <v>807</v>
      </c>
      <c r="P1056" s="2">
        <v>1</v>
      </c>
      <c r="Q1056" s="2">
        <v>0</v>
      </c>
      <c r="R1056" s="2">
        <v>0</v>
      </c>
      <c r="S1056" s="2">
        <v>1</v>
      </c>
      <c r="T1056" s="2">
        <v>2</v>
      </c>
      <c r="U1056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63</v>
      </c>
      <c r="V1056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250</v>
      </c>
      <c r="W1056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250</v>
      </c>
      <c r="X1056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37</v>
      </c>
      <c r="Y1056" s="2">
        <f>SUM(Webometrics_RV1000[[#This Row],[THE_RV1000]:[Webometrics_RV1000]])</f>
        <v>600</v>
      </c>
      <c r="Z1056" s="2">
        <v>63</v>
      </c>
      <c r="AA1056" s="2">
        <v>0</v>
      </c>
      <c r="AB1056" s="2">
        <v>0</v>
      </c>
      <c r="AC1056" s="2">
        <v>37</v>
      </c>
    </row>
    <row r="1057" spans="15:29" outlineLevel="1" x14ac:dyDescent="0.45">
      <c r="O1057" s="1" t="s">
        <v>765</v>
      </c>
      <c r="P1057" s="1">
        <v>0</v>
      </c>
      <c r="Q1057" s="1">
        <v>0</v>
      </c>
      <c r="R1057" s="1">
        <v>1</v>
      </c>
      <c r="S1057" s="1">
        <v>1</v>
      </c>
      <c r="T1057" s="1">
        <v>2</v>
      </c>
      <c r="U1057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250</v>
      </c>
      <c r="V1057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250</v>
      </c>
      <c r="W1057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93</v>
      </c>
      <c r="X1057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19</v>
      </c>
      <c r="Y1057" s="2">
        <f>SUM(Webometrics_RV1000[[#This Row],[THE_RV1000]:[Webometrics_RV1000]])</f>
        <v>612</v>
      </c>
      <c r="Z1057" s="1">
        <v>0</v>
      </c>
      <c r="AA1057" s="1">
        <v>0</v>
      </c>
      <c r="AB1057" s="1">
        <v>93</v>
      </c>
      <c r="AC1057" s="1">
        <v>19</v>
      </c>
    </row>
    <row r="1058" spans="15:29" outlineLevel="1" x14ac:dyDescent="0.45">
      <c r="O1058" s="2" t="s">
        <v>372</v>
      </c>
      <c r="P1058" s="2">
        <v>1</v>
      </c>
      <c r="Q1058" s="2">
        <v>0</v>
      </c>
      <c r="R1058" s="2">
        <v>0</v>
      </c>
      <c r="S1058" s="2">
        <v>1</v>
      </c>
      <c r="T1058" s="2">
        <v>2</v>
      </c>
      <c r="U1058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71</v>
      </c>
      <c r="V1058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250</v>
      </c>
      <c r="W1058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250</v>
      </c>
      <c r="X1058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56</v>
      </c>
      <c r="Y1058" s="2">
        <f>SUM(Webometrics_RV1000[[#This Row],[THE_RV1000]:[Webometrics_RV1000]])</f>
        <v>627</v>
      </c>
      <c r="Z1058" s="2">
        <v>71</v>
      </c>
      <c r="AA1058" s="2">
        <v>0</v>
      </c>
      <c r="AB1058" s="2">
        <v>0</v>
      </c>
      <c r="AC1058" s="2">
        <v>56</v>
      </c>
    </row>
    <row r="1059" spans="15:29" outlineLevel="1" x14ac:dyDescent="0.45">
      <c r="O1059" s="1" t="s">
        <v>607</v>
      </c>
      <c r="P1059" s="1">
        <v>0</v>
      </c>
      <c r="Q1059" s="1">
        <v>1</v>
      </c>
      <c r="R1059" s="1">
        <v>0</v>
      </c>
      <c r="S1059" s="1">
        <v>1</v>
      </c>
      <c r="T1059" s="1">
        <v>2</v>
      </c>
      <c r="U1059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250</v>
      </c>
      <c r="V1059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82</v>
      </c>
      <c r="W1059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250</v>
      </c>
      <c r="X1059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46</v>
      </c>
      <c r="Y1059" s="2">
        <f>SUM(Webometrics_RV1000[[#This Row],[THE_RV1000]:[Webometrics_RV1000]])</f>
        <v>628</v>
      </c>
      <c r="Z1059" s="1">
        <v>0</v>
      </c>
      <c r="AA1059" s="1">
        <v>82</v>
      </c>
      <c r="AB1059" s="1">
        <v>0</v>
      </c>
      <c r="AC1059" s="1">
        <v>46</v>
      </c>
    </row>
    <row r="1060" spans="15:29" outlineLevel="1" x14ac:dyDescent="0.45">
      <c r="O1060" s="2" t="s">
        <v>813</v>
      </c>
      <c r="P1060" s="2">
        <v>0</v>
      </c>
      <c r="Q1060" s="2">
        <v>1</v>
      </c>
      <c r="R1060" s="2">
        <v>0</v>
      </c>
      <c r="S1060" s="2">
        <v>1</v>
      </c>
      <c r="T1060" s="2">
        <v>2</v>
      </c>
      <c r="U1060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250</v>
      </c>
      <c r="V1060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83</v>
      </c>
      <c r="W1060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250</v>
      </c>
      <c r="X1060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45</v>
      </c>
      <c r="Y1060" s="2">
        <f>SUM(Webometrics_RV1000[[#This Row],[THE_RV1000]:[Webometrics_RV1000]])</f>
        <v>628</v>
      </c>
      <c r="Z1060" s="2">
        <v>0</v>
      </c>
      <c r="AA1060" s="2">
        <v>83</v>
      </c>
      <c r="AB1060" s="2">
        <v>0</v>
      </c>
      <c r="AC1060" s="2">
        <v>45</v>
      </c>
    </row>
    <row r="1061" spans="15:29" outlineLevel="1" x14ac:dyDescent="0.45">
      <c r="O1061" s="1" t="s">
        <v>619</v>
      </c>
      <c r="P1061" s="1">
        <v>0</v>
      </c>
      <c r="Q1061" s="1">
        <v>1</v>
      </c>
      <c r="R1061" s="1">
        <v>0</v>
      </c>
      <c r="S1061" s="1">
        <v>1</v>
      </c>
      <c r="T1061" s="1">
        <v>2</v>
      </c>
      <c r="U1061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250</v>
      </c>
      <c r="V1061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94</v>
      </c>
      <c r="W1061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250</v>
      </c>
      <c r="X1061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34</v>
      </c>
      <c r="Y1061" s="2">
        <f>SUM(Webometrics_RV1000[[#This Row],[THE_RV1000]:[Webometrics_RV1000]])</f>
        <v>628</v>
      </c>
      <c r="Z1061" s="1">
        <v>0</v>
      </c>
      <c r="AA1061" s="1">
        <v>94</v>
      </c>
      <c r="AB1061" s="1">
        <v>0</v>
      </c>
      <c r="AC1061" s="1">
        <v>34</v>
      </c>
    </row>
    <row r="1062" spans="15:29" outlineLevel="1" x14ac:dyDescent="0.45">
      <c r="O1062" s="2" t="s">
        <v>416</v>
      </c>
      <c r="P1062" s="2">
        <v>1</v>
      </c>
      <c r="Q1062" s="2">
        <v>0</v>
      </c>
      <c r="R1062" s="2">
        <v>0</v>
      </c>
      <c r="S1062" s="2">
        <v>1</v>
      </c>
      <c r="T1062" s="2">
        <v>2</v>
      </c>
      <c r="U1062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82</v>
      </c>
      <c r="V1062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250</v>
      </c>
      <c r="W1062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250</v>
      </c>
      <c r="X1062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72</v>
      </c>
      <c r="Y1062" s="2">
        <f>SUM(Webometrics_RV1000[[#This Row],[THE_RV1000]:[Webometrics_RV1000]])</f>
        <v>654</v>
      </c>
      <c r="Z1062" s="2">
        <v>82</v>
      </c>
      <c r="AA1062" s="2">
        <v>0</v>
      </c>
      <c r="AB1062" s="2">
        <v>0</v>
      </c>
      <c r="AC1062" s="2">
        <v>72</v>
      </c>
    </row>
    <row r="1063" spans="15:29" outlineLevel="1" x14ac:dyDescent="0.45">
      <c r="O1063" s="1" t="s">
        <v>617</v>
      </c>
      <c r="P1063" s="1">
        <v>0</v>
      </c>
      <c r="Q1063" s="1">
        <v>1</v>
      </c>
      <c r="R1063" s="1">
        <v>0</v>
      </c>
      <c r="S1063" s="1">
        <v>1</v>
      </c>
      <c r="T1063" s="1">
        <v>2</v>
      </c>
      <c r="U1063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250</v>
      </c>
      <c r="V1063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92</v>
      </c>
      <c r="W1063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250</v>
      </c>
      <c r="X1063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71</v>
      </c>
      <c r="Y1063" s="2">
        <f>SUM(Webometrics_RV1000[[#This Row],[THE_RV1000]:[Webometrics_RV1000]])</f>
        <v>663</v>
      </c>
      <c r="Z1063" s="1">
        <v>0</v>
      </c>
      <c r="AA1063" s="1">
        <v>92</v>
      </c>
      <c r="AB1063" s="1">
        <v>0</v>
      </c>
      <c r="AC1063" s="1">
        <v>71</v>
      </c>
    </row>
    <row r="1064" spans="15:29" outlineLevel="1" x14ac:dyDescent="0.45">
      <c r="O1064" s="2" t="s">
        <v>598</v>
      </c>
      <c r="P1064" s="2">
        <v>0</v>
      </c>
      <c r="Q1064" s="2">
        <v>1</v>
      </c>
      <c r="R1064" s="2">
        <v>0</v>
      </c>
      <c r="S1064" s="2">
        <v>1</v>
      </c>
      <c r="T1064" s="2">
        <v>2</v>
      </c>
      <c r="U1064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250</v>
      </c>
      <c r="V1064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67</v>
      </c>
      <c r="W1064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250</v>
      </c>
      <c r="X1064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97</v>
      </c>
      <c r="Y1064" s="2">
        <f>SUM(Webometrics_RV1000[[#This Row],[THE_RV1000]:[Webometrics_RV1000]])</f>
        <v>664</v>
      </c>
      <c r="Z1064" s="2">
        <v>0</v>
      </c>
      <c r="AA1064" s="2">
        <v>67</v>
      </c>
      <c r="AB1064" s="2">
        <v>0</v>
      </c>
      <c r="AC1064" s="2">
        <v>97</v>
      </c>
    </row>
    <row r="1065" spans="15:29" outlineLevel="1" x14ac:dyDescent="0.45">
      <c r="O1065" s="1" t="s">
        <v>749</v>
      </c>
      <c r="P1065" s="1">
        <v>0</v>
      </c>
      <c r="Q1065" s="1">
        <v>0</v>
      </c>
      <c r="R1065" s="1">
        <v>1</v>
      </c>
      <c r="S1065" s="1">
        <v>1</v>
      </c>
      <c r="T1065" s="1">
        <v>2</v>
      </c>
      <c r="U1065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250</v>
      </c>
      <c r="V1065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250</v>
      </c>
      <c r="W1065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86</v>
      </c>
      <c r="X1065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88</v>
      </c>
      <c r="Y1065" s="2">
        <f>SUM(Webometrics_RV1000[[#This Row],[THE_RV1000]:[Webometrics_RV1000]])</f>
        <v>674</v>
      </c>
      <c r="Z1065" s="1">
        <v>0</v>
      </c>
      <c r="AA1065" s="1">
        <v>0</v>
      </c>
      <c r="AB1065" s="1">
        <v>86</v>
      </c>
      <c r="AC1065" s="1">
        <v>88</v>
      </c>
    </row>
    <row r="1066" spans="15:29" outlineLevel="1" x14ac:dyDescent="0.45">
      <c r="O1066" s="2" t="s">
        <v>618</v>
      </c>
      <c r="P1066" s="2">
        <v>0</v>
      </c>
      <c r="Q1066" s="2">
        <v>1</v>
      </c>
      <c r="R1066" s="2">
        <v>0</v>
      </c>
      <c r="S1066" s="2">
        <v>1</v>
      </c>
      <c r="T1066" s="2">
        <v>2</v>
      </c>
      <c r="U1066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250</v>
      </c>
      <c r="V1066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92</v>
      </c>
      <c r="W1066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250</v>
      </c>
      <c r="X1066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93</v>
      </c>
      <c r="Y1066" s="2">
        <f>SUM(Webometrics_RV1000[[#This Row],[THE_RV1000]:[Webometrics_RV1000]])</f>
        <v>685</v>
      </c>
      <c r="Z1066" s="2">
        <v>0</v>
      </c>
      <c r="AA1066" s="2">
        <v>92</v>
      </c>
      <c r="AB1066" s="2">
        <v>0</v>
      </c>
      <c r="AC1066" s="2">
        <v>93</v>
      </c>
    </row>
    <row r="1067" spans="15:29" outlineLevel="1" x14ac:dyDescent="0.45">
      <c r="O1067" s="1" t="s">
        <v>440</v>
      </c>
      <c r="P1067" s="1">
        <v>1</v>
      </c>
      <c r="Q1067" s="1">
        <v>0</v>
      </c>
      <c r="R1067" s="1">
        <v>0</v>
      </c>
      <c r="S1067" s="1">
        <v>1</v>
      </c>
      <c r="T1067" s="1">
        <v>2</v>
      </c>
      <c r="U1067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88</v>
      </c>
      <c r="V1067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250</v>
      </c>
      <c r="W1067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250</v>
      </c>
      <c r="X1067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99</v>
      </c>
      <c r="Y1067" s="2">
        <f>SUM(Webometrics_RV1000[[#This Row],[THE_RV1000]:[Webometrics_RV1000]])</f>
        <v>687</v>
      </c>
      <c r="Z1067" s="1">
        <v>88</v>
      </c>
      <c r="AA1067" s="1">
        <v>0</v>
      </c>
      <c r="AB1067" s="1">
        <v>0</v>
      </c>
      <c r="AC1067" s="1">
        <v>99</v>
      </c>
    </row>
    <row r="1068" spans="15:29" outlineLevel="1" x14ac:dyDescent="0.45">
      <c r="O1068" s="2" t="s">
        <v>806</v>
      </c>
      <c r="P1068" s="2">
        <v>0</v>
      </c>
      <c r="Q1068" s="2">
        <v>0</v>
      </c>
      <c r="R1068" s="2">
        <v>0</v>
      </c>
      <c r="S1068" s="2">
        <v>1</v>
      </c>
      <c r="T1068" s="2">
        <v>1</v>
      </c>
      <c r="U1068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250</v>
      </c>
      <c r="V1068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250</v>
      </c>
      <c r="W1068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250</v>
      </c>
      <c r="X1068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36</v>
      </c>
      <c r="Y1068" s="2">
        <f>SUM(Webometrics_RV1000[[#This Row],[THE_RV1000]:[Webometrics_RV1000]])</f>
        <v>786</v>
      </c>
      <c r="Z1068" s="2">
        <v>0</v>
      </c>
      <c r="AA1068" s="2">
        <v>0</v>
      </c>
      <c r="AB1068" s="2">
        <v>0</v>
      </c>
      <c r="AC1068" s="2">
        <v>36</v>
      </c>
    </row>
    <row r="1069" spans="15:29" outlineLevel="1" x14ac:dyDescent="0.45">
      <c r="O1069" s="1" t="s">
        <v>812</v>
      </c>
      <c r="P1069" s="1">
        <v>0</v>
      </c>
      <c r="Q1069" s="1">
        <v>0</v>
      </c>
      <c r="R1069" s="1">
        <v>0</v>
      </c>
      <c r="S1069" s="1">
        <v>1</v>
      </c>
      <c r="T1069" s="1">
        <v>1</v>
      </c>
      <c r="U1069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250</v>
      </c>
      <c r="V1069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250</v>
      </c>
      <c r="W1069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250</v>
      </c>
      <c r="X1069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43</v>
      </c>
      <c r="Y1069" s="2">
        <f>SUM(Webometrics_RV1000[[#This Row],[THE_RV1000]:[Webometrics_RV1000]])</f>
        <v>793</v>
      </c>
      <c r="Z1069" s="1">
        <v>0</v>
      </c>
      <c r="AA1069" s="1">
        <v>0</v>
      </c>
      <c r="AB1069" s="1">
        <v>0</v>
      </c>
      <c r="AC1069" s="1">
        <v>43</v>
      </c>
    </row>
    <row r="1070" spans="15:29" outlineLevel="1" x14ac:dyDescent="0.45">
      <c r="O1070" s="2" t="s">
        <v>814</v>
      </c>
      <c r="P1070" s="2">
        <v>0</v>
      </c>
      <c r="Q1070" s="2">
        <v>0</v>
      </c>
      <c r="R1070" s="2">
        <v>0</v>
      </c>
      <c r="S1070" s="2">
        <v>1</v>
      </c>
      <c r="T1070" s="2">
        <v>1</v>
      </c>
      <c r="U1070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250</v>
      </c>
      <c r="V1070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250</v>
      </c>
      <c r="W1070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250</v>
      </c>
      <c r="X1070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48</v>
      </c>
      <c r="Y1070" s="2">
        <f>SUM(Webometrics_RV1000[[#This Row],[THE_RV1000]:[Webometrics_RV1000]])</f>
        <v>798</v>
      </c>
      <c r="Z1070" s="2">
        <v>0</v>
      </c>
      <c r="AA1070" s="2">
        <v>0</v>
      </c>
      <c r="AB1070" s="2">
        <v>0</v>
      </c>
      <c r="AC1070" s="2">
        <v>48</v>
      </c>
    </row>
    <row r="1071" spans="15:29" outlineLevel="1" x14ac:dyDescent="0.45">
      <c r="O1071" s="1" t="s">
        <v>815</v>
      </c>
      <c r="P1071" s="1">
        <v>0</v>
      </c>
      <c r="Q1071" s="1">
        <v>0</v>
      </c>
      <c r="R1071" s="1">
        <v>0</v>
      </c>
      <c r="S1071" s="1">
        <v>1</v>
      </c>
      <c r="T1071" s="1">
        <v>1</v>
      </c>
      <c r="U1071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250</v>
      </c>
      <c r="V1071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250</v>
      </c>
      <c r="W1071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250</v>
      </c>
      <c r="X1071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51</v>
      </c>
      <c r="Y1071" s="2">
        <f>SUM(Webometrics_RV1000[[#This Row],[THE_RV1000]:[Webometrics_RV1000]])</f>
        <v>801</v>
      </c>
      <c r="Z1071" s="1">
        <v>0</v>
      </c>
      <c r="AA1071" s="1">
        <v>0</v>
      </c>
      <c r="AB1071" s="1">
        <v>0</v>
      </c>
      <c r="AC1071" s="1">
        <v>51</v>
      </c>
    </row>
    <row r="1072" spans="15:29" outlineLevel="1" x14ac:dyDescent="0.45">
      <c r="O1072" s="2" t="s">
        <v>817</v>
      </c>
      <c r="P1072" s="2">
        <v>0</v>
      </c>
      <c r="Q1072" s="2">
        <v>0</v>
      </c>
      <c r="R1072" s="2">
        <v>0</v>
      </c>
      <c r="S1072" s="2">
        <v>1</v>
      </c>
      <c r="T1072" s="2">
        <v>1</v>
      </c>
      <c r="U1072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250</v>
      </c>
      <c r="V1072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250</v>
      </c>
      <c r="W1072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250</v>
      </c>
      <c r="X1072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53</v>
      </c>
      <c r="Y1072" s="2">
        <f>SUM(Webometrics_RV1000[[#This Row],[THE_RV1000]:[Webometrics_RV1000]])</f>
        <v>803</v>
      </c>
      <c r="Z1072" s="2">
        <v>0</v>
      </c>
      <c r="AA1072" s="2">
        <v>0</v>
      </c>
      <c r="AB1072" s="2">
        <v>0</v>
      </c>
      <c r="AC1072" s="2">
        <v>53</v>
      </c>
    </row>
    <row r="1073" spans="15:29" outlineLevel="1" x14ac:dyDescent="0.45">
      <c r="O1073" s="1" t="s">
        <v>818</v>
      </c>
      <c r="P1073" s="1">
        <v>0</v>
      </c>
      <c r="Q1073" s="1">
        <v>0</v>
      </c>
      <c r="R1073" s="1">
        <v>0</v>
      </c>
      <c r="S1073" s="1">
        <v>1</v>
      </c>
      <c r="T1073" s="1">
        <v>1</v>
      </c>
      <c r="U1073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250</v>
      </c>
      <c r="V1073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250</v>
      </c>
      <c r="W1073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250</v>
      </c>
      <c r="X1073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54</v>
      </c>
      <c r="Y1073" s="2">
        <f>SUM(Webometrics_RV1000[[#This Row],[THE_RV1000]:[Webometrics_RV1000]])</f>
        <v>804</v>
      </c>
      <c r="Z1073" s="1">
        <v>0</v>
      </c>
      <c r="AA1073" s="1">
        <v>0</v>
      </c>
      <c r="AB1073" s="1">
        <v>0</v>
      </c>
      <c r="AC1073" s="1">
        <v>54</v>
      </c>
    </row>
    <row r="1074" spans="15:29" outlineLevel="1" x14ac:dyDescent="0.45">
      <c r="O1074" s="2" t="s">
        <v>625</v>
      </c>
      <c r="P1074" s="2">
        <v>0</v>
      </c>
      <c r="Q1074" s="2">
        <v>0</v>
      </c>
      <c r="R1074" s="2">
        <v>0</v>
      </c>
      <c r="S1074" s="2">
        <v>1</v>
      </c>
      <c r="T1074" s="2">
        <v>1</v>
      </c>
      <c r="U1074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250</v>
      </c>
      <c r="V1074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250</v>
      </c>
      <c r="W1074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250</v>
      </c>
      <c r="X1074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55</v>
      </c>
      <c r="Y1074" s="2">
        <f>SUM(Webometrics_RV1000[[#This Row],[THE_RV1000]:[Webometrics_RV1000]])</f>
        <v>805</v>
      </c>
      <c r="Z1074" s="2">
        <v>0</v>
      </c>
      <c r="AA1074" s="2">
        <v>0</v>
      </c>
      <c r="AB1074" s="2">
        <v>0</v>
      </c>
      <c r="AC1074" s="2">
        <v>55</v>
      </c>
    </row>
    <row r="1075" spans="15:29" outlineLevel="1" x14ac:dyDescent="0.45">
      <c r="O1075" s="1" t="s">
        <v>820</v>
      </c>
      <c r="P1075" s="1">
        <v>0</v>
      </c>
      <c r="Q1075" s="1">
        <v>0</v>
      </c>
      <c r="R1075" s="1">
        <v>0</v>
      </c>
      <c r="S1075" s="1">
        <v>1</v>
      </c>
      <c r="T1075" s="1">
        <v>1</v>
      </c>
      <c r="U1075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250</v>
      </c>
      <c r="V1075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250</v>
      </c>
      <c r="W1075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250</v>
      </c>
      <c r="X1075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63</v>
      </c>
      <c r="Y1075" s="2">
        <f>SUM(Webometrics_RV1000[[#This Row],[THE_RV1000]:[Webometrics_RV1000]])</f>
        <v>813</v>
      </c>
      <c r="Z1075" s="1">
        <v>0</v>
      </c>
      <c r="AA1075" s="1">
        <v>0</v>
      </c>
      <c r="AB1075" s="1">
        <v>0</v>
      </c>
      <c r="AC1075" s="1">
        <v>63</v>
      </c>
    </row>
    <row r="1076" spans="15:29" outlineLevel="1" x14ac:dyDescent="0.45">
      <c r="O1076" s="2" t="s">
        <v>821</v>
      </c>
      <c r="P1076" s="2">
        <v>0</v>
      </c>
      <c r="Q1076" s="2">
        <v>0</v>
      </c>
      <c r="R1076" s="2">
        <v>0</v>
      </c>
      <c r="S1076" s="2">
        <v>1</v>
      </c>
      <c r="T1076" s="2">
        <v>1</v>
      </c>
      <c r="U1076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250</v>
      </c>
      <c r="V1076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250</v>
      </c>
      <c r="W1076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250</v>
      </c>
      <c r="X1076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64</v>
      </c>
      <c r="Y1076" s="2">
        <f>SUM(Webometrics_RV1000[[#This Row],[THE_RV1000]:[Webometrics_RV1000]])</f>
        <v>814</v>
      </c>
      <c r="Z1076" s="2">
        <v>0</v>
      </c>
      <c r="AA1076" s="2">
        <v>0</v>
      </c>
      <c r="AB1076" s="2">
        <v>0</v>
      </c>
      <c r="AC1076" s="2">
        <v>64</v>
      </c>
    </row>
    <row r="1077" spans="15:29" outlineLevel="1" x14ac:dyDescent="0.45">
      <c r="O1077" s="1" t="s">
        <v>826</v>
      </c>
      <c r="P1077" s="1">
        <v>0</v>
      </c>
      <c r="Q1077" s="1">
        <v>0</v>
      </c>
      <c r="R1077" s="1">
        <v>0</v>
      </c>
      <c r="S1077" s="1">
        <v>1</v>
      </c>
      <c r="T1077" s="1">
        <v>1</v>
      </c>
      <c r="U1077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250</v>
      </c>
      <c r="V1077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250</v>
      </c>
      <c r="W1077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250</v>
      </c>
      <c r="X1077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70</v>
      </c>
      <c r="Y1077" s="2">
        <f>SUM(Webometrics_RV1000[[#This Row],[THE_RV1000]:[Webometrics_RV1000]])</f>
        <v>820</v>
      </c>
      <c r="Z1077" s="1">
        <v>0</v>
      </c>
      <c r="AA1077" s="1">
        <v>0</v>
      </c>
      <c r="AB1077" s="1">
        <v>0</v>
      </c>
      <c r="AC1077" s="1">
        <v>70</v>
      </c>
    </row>
    <row r="1078" spans="15:29" outlineLevel="1" x14ac:dyDescent="0.45">
      <c r="O1078" s="2" t="s">
        <v>830</v>
      </c>
      <c r="P1078" s="2">
        <v>0</v>
      </c>
      <c r="Q1078" s="2">
        <v>0</v>
      </c>
      <c r="R1078" s="2">
        <v>0</v>
      </c>
      <c r="S1078" s="2">
        <v>1</v>
      </c>
      <c r="T1078" s="2">
        <v>1</v>
      </c>
      <c r="U1078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250</v>
      </c>
      <c r="V1078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250</v>
      </c>
      <c r="W1078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250</v>
      </c>
      <c r="X1078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77</v>
      </c>
      <c r="Y1078" s="2">
        <f>SUM(Webometrics_RV1000[[#This Row],[THE_RV1000]:[Webometrics_RV1000]])</f>
        <v>827</v>
      </c>
      <c r="Z1078" s="2">
        <v>0</v>
      </c>
      <c r="AA1078" s="2">
        <v>0</v>
      </c>
      <c r="AB1078" s="2">
        <v>0</v>
      </c>
      <c r="AC1078" s="2">
        <v>77</v>
      </c>
    </row>
    <row r="1079" spans="15:29" outlineLevel="1" x14ac:dyDescent="0.45">
      <c r="O1079" s="1" t="s">
        <v>831</v>
      </c>
      <c r="P1079" s="1">
        <v>0</v>
      </c>
      <c r="Q1079" s="1">
        <v>0</v>
      </c>
      <c r="R1079" s="1">
        <v>0</v>
      </c>
      <c r="S1079" s="1">
        <v>1</v>
      </c>
      <c r="T1079" s="1">
        <v>1</v>
      </c>
      <c r="U1079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250</v>
      </c>
      <c r="V1079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250</v>
      </c>
      <c r="W1079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250</v>
      </c>
      <c r="X1079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78</v>
      </c>
      <c r="Y1079" s="2">
        <f>SUM(Webometrics_RV1000[[#This Row],[THE_RV1000]:[Webometrics_RV1000]])</f>
        <v>828</v>
      </c>
      <c r="Z1079" s="1">
        <v>0</v>
      </c>
      <c r="AA1079" s="1">
        <v>0</v>
      </c>
      <c r="AB1079" s="1">
        <v>0</v>
      </c>
      <c r="AC1079" s="1">
        <v>78</v>
      </c>
    </row>
    <row r="1080" spans="15:29" outlineLevel="1" x14ac:dyDescent="0.45">
      <c r="O1080" s="2" t="s">
        <v>832</v>
      </c>
      <c r="P1080" s="2">
        <v>0</v>
      </c>
      <c r="Q1080" s="2">
        <v>0</v>
      </c>
      <c r="R1080" s="2">
        <v>0</v>
      </c>
      <c r="S1080" s="2">
        <v>1</v>
      </c>
      <c r="T1080" s="2">
        <v>1</v>
      </c>
      <c r="U1080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250</v>
      </c>
      <c r="V1080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250</v>
      </c>
      <c r="W1080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250</v>
      </c>
      <c r="X1080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82</v>
      </c>
      <c r="Y1080" s="2">
        <f>SUM(Webometrics_RV1000[[#This Row],[THE_RV1000]:[Webometrics_RV1000]])</f>
        <v>832</v>
      </c>
      <c r="Z1080" s="2">
        <v>0</v>
      </c>
      <c r="AA1080" s="2">
        <v>0</v>
      </c>
      <c r="AB1080" s="2">
        <v>0</v>
      </c>
      <c r="AC1080" s="2">
        <v>82</v>
      </c>
    </row>
    <row r="1081" spans="15:29" outlineLevel="1" x14ac:dyDescent="0.45">
      <c r="O1081" s="1" t="s">
        <v>833</v>
      </c>
      <c r="P1081" s="1">
        <v>0</v>
      </c>
      <c r="Q1081" s="1">
        <v>0</v>
      </c>
      <c r="R1081" s="1">
        <v>0</v>
      </c>
      <c r="S1081" s="1">
        <v>1</v>
      </c>
      <c r="T1081" s="1">
        <v>1</v>
      </c>
      <c r="U1081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250</v>
      </c>
      <c r="V1081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250</v>
      </c>
      <c r="W1081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250</v>
      </c>
      <c r="X1081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83</v>
      </c>
      <c r="Y1081" s="2">
        <f>SUM(Webometrics_RV1000[[#This Row],[THE_RV1000]:[Webometrics_RV1000]])</f>
        <v>833</v>
      </c>
      <c r="Z1081" s="1">
        <v>0</v>
      </c>
      <c r="AA1081" s="1">
        <v>0</v>
      </c>
      <c r="AB1081" s="1">
        <v>0</v>
      </c>
      <c r="AC1081" s="1">
        <v>83</v>
      </c>
    </row>
    <row r="1082" spans="15:29" outlineLevel="1" x14ac:dyDescent="0.45">
      <c r="O1082" s="2" t="s">
        <v>835</v>
      </c>
      <c r="P1082" s="2">
        <v>0</v>
      </c>
      <c r="Q1082" s="2">
        <v>0</v>
      </c>
      <c r="R1082" s="2">
        <v>0</v>
      </c>
      <c r="S1082" s="2">
        <v>1</v>
      </c>
      <c r="T1082" s="2">
        <v>1</v>
      </c>
      <c r="U1082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250</v>
      </c>
      <c r="V1082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250</v>
      </c>
      <c r="W1082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250</v>
      </c>
      <c r="X1082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85</v>
      </c>
      <c r="Y1082" s="2">
        <f>SUM(Webometrics_RV1000[[#This Row],[THE_RV1000]:[Webometrics_RV1000]])</f>
        <v>835</v>
      </c>
      <c r="Z1082" s="2">
        <v>0</v>
      </c>
      <c r="AA1082" s="2">
        <v>0</v>
      </c>
      <c r="AB1082" s="2">
        <v>0</v>
      </c>
      <c r="AC1082" s="2">
        <v>85</v>
      </c>
    </row>
    <row r="1083" spans="15:29" outlineLevel="1" x14ac:dyDescent="0.45">
      <c r="O1083" s="1" t="s">
        <v>836</v>
      </c>
      <c r="P1083" s="1">
        <v>0</v>
      </c>
      <c r="Q1083" s="1">
        <v>0</v>
      </c>
      <c r="R1083" s="1">
        <v>0</v>
      </c>
      <c r="S1083" s="1">
        <v>1</v>
      </c>
      <c r="T1083" s="1">
        <v>1</v>
      </c>
      <c r="U1083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250</v>
      </c>
      <c r="V1083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250</v>
      </c>
      <c r="W1083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250</v>
      </c>
      <c r="X1083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86</v>
      </c>
      <c r="Y1083" s="2">
        <f>SUM(Webometrics_RV1000[[#This Row],[THE_RV1000]:[Webometrics_RV1000]])</f>
        <v>836</v>
      </c>
      <c r="Z1083" s="1">
        <v>0</v>
      </c>
      <c r="AA1083" s="1">
        <v>0</v>
      </c>
      <c r="AB1083" s="1">
        <v>0</v>
      </c>
      <c r="AC1083" s="1">
        <v>86</v>
      </c>
    </row>
    <row r="1084" spans="15:29" outlineLevel="1" x14ac:dyDescent="0.45">
      <c r="O1084" s="2" t="s">
        <v>837</v>
      </c>
      <c r="P1084" s="2">
        <v>0</v>
      </c>
      <c r="Q1084" s="2">
        <v>0</v>
      </c>
      <c r="R1084" s="2">
        <v>0</v>
      </c>
      <c r="S1084" s="2">
        <v>1</v>
      </c>
      <c r="T1084" s="2">
        <v>1</v>
      </c>
      <c r="U1084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250</v>
      </c>
      <c r="V1084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250</v>
      </c>
      <c r="W1084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250</v>
      </c>
      <c r="X1084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91</v>
      </c>
      <c r="Y1084" s="2">
        <f>SUM(Webometrics_RV1000[[#This Row],[THE_RV1000]:[Webometrics_RV1000]])</f>
        <v>841</v>
      </c>
      <c r="Z1084" s="2">
        <v>0</v>
      </c>
      <c r="AA1084" s="2">
        <v>0</v>
      </c>
      <c r="AB1084" s="2">
        <v>0</v>
      </c>
      <c r="AC1084" s="2">
        <v>91</v>
      </c>
    </row>
    <row r="1085" spans="15:29" outlineLevel="1" x14ac:dyDescent="0.45">
      <c r="O1085" s="1" t="s">
        <v>844</v>
      </c>
      <c r="P1085" s="1">
        <v>0</v>
      </c>
      <c r="Q1085" s="1">
        <v>0</v>
      </c>
      <c r="R1085" s="1">
        <v>0</v>
      </c>
      <c r="S1085" s="1">
        <v>1</v>
      </c>
      <c r="T1085" s="1">
        <v>1</v>
      </c>
      <c r="U1085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250</v>
      </c>
      <c r="V1085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250</v>
      </c>
      <c r="W1085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250</v>
      </c>
      <c r="X1085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98</v>
      </c>
      <c r="Y1085" s="2">
        <f>SUM(Webometrics_RV1000[[#This Row],[THE_RV1000]:[Webometrics_RV1000]])</f>
        <v>848</v>
      </c>
      <c r="Z1085" s="1">
        <v>0</v>
      </c>
      <c r="AA1085" s="1">
        <v>0</v>
      </c>
      <c r="AB1085" s="1">
        <v>0</v>
      </c>
      <c r="AC1085" s="1">
        <v>98</v>
      </c>
    </row>
    <row r="1086" spans="15:29" outlineLevel="1" x14ac:dyDescent="0.45">
      <c r="O1086" s="11" t="s">
        <v>845</v>
      </c>
      <c r="P1086" s="11">
        <v>0</v>
      </c>
      <c r="Q1086" s="11">
        <v>0</v>
      </c>
      <c r="R1086" s="11">
        <v>0</v>
      </c>
      <c r="S1086" s="11">
        <v>1</v>
      </c>
      <c r="T1086" s="11">
        <v>1</v>
      </c>
      <c r="U1086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250</v>
      </c>
      <c r="V1086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250</v>
      </c>
      <c r="W1086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250</v>
      </c>
      <c r="X1086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100</v>
      </c>
      <c r="Y1086" s="2">
        <f>SUM(Webometrics_RV1000[[#This Row],[THE_RV1000]:[Webometrics_RV1000]])</f>
        <v>850</v>
      </c>
      <c r="Z1086" s="11">
        <v>0</v>
      </c>
      <c r="AA1086" s="11">
        <v>0</v>
      </c>
      <c r="AB1086" s="11">
        <v>0</v>
      </c>
      <c r="AC1086" s="11">
        <v>100</v>
      </c>
    </row>
  </sheetData>
  <pageMargins left="0.7" right="0.7" top="0.75" bottom="0.75" header="0.3" footer="0.3"/>
  <pageSetup paperSize="9" orientation="portrait" verticalDpi="0" r:id="rId2"/>
  <drawing r:id="rId3"/>
  <tableParts count="13"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F31B7-9CF6-4BD0-AB48-F395682D06E2}">
  <dimension ref="B2:AM98"/>
  <sheetViews>
    <sheetView workbookViewId="0">
      <selection activeCell="K56" sqref="K56"/>
    </sheetView>
  </sheetViews>
  <sheetFormatPr defaultRowHeight="14.25" x14ac:dyDescent="0.45"/>
  <cols>
    <col min="2" max="2" width="20.86328125" bestFit="1" customWidth="1"/>
    <col min="3" max="10" width="10.9296875" customWidth="1"/>
    <col min="11" max="39" width="11.9296875" customWidth="1"/>
  </cols>
  <sheetData>
    <row r="2" spans="2:39" x14ac:dyDescent="0.45">
      <c r="B2" t="s">
        <v>1331</v>
      </c>
      <c r="C2" t="s">
        <v>1293</v>
      </c>
      <c r="D2" t="s">
        <v>1294</v>
      </c>
      <c r="E2" t="s">
        <v>1295</v>
      </c>
      <c r="F2" t="s">
        <v>1296</v>
      </c>
      <c r="G2" t="s">
        <v>1297</v>
      </c>
      <c r="H2" t="s">
        <v>1298</v>
      </c>
      <c r="I2" t="s">
        <v>1299</v>
      </c>
      <c r="J2" t="s">
        <v>1300</v>
      </c>
      <c r="K2" t="s">
        <v>1301</v>
      </c>
      <c r="L2" t="s">
        <v>1302</v>
      </c>
      <c r="M2" t="s">
        <v>1303</v>
      </c>
      <c r="N2" t="s">
        <v>1304</v>
      </c>
      <c r="O2" t="s">
        <v>1305</v>
      </c>
      <c r="P2" t="s">
        <v>1306</v>
      </c>
      <c r="Q2" t="s">
        <v>1307</v>
      </c>
      <c r="R2" t="s">
        <v>1308</v>
      </c>
      <c r="S2" t="s">
        <v>1309</v>
      </c>
      <c r="T2" t="s">
        <v>1310</v>
      </c>
      <c r="U2" t="s">
        <v>1311</v>
      </c>
      <c r="V2" t="s">
        <v>1312</v>
      </c>
      <c r="W2" t="s">
        <v>1313</v>
      </c>
      <c r="X2" t="s">
        <v>1314</v>
      </c>
      <c r="Y2" t="s">
        <v>1315</v>
      </c>
      <c r="Z2" t="s">
        <v>1316</v>
      </c>
      <c r="AA2" t="s">
        <v>1317</v>
      </c>
      <c r="AB2" t="s">
        <v>1318</v>
      </c>
      <c r="AC2" t="s">
        <v>1319</v>
      </c>
      <c r="AD2" t="s">
        <v>1320</v>
      </c>
      <c r="AE2" t="s">
        <v>1321</v>
      </c>
      <c r="AF2" t="s">
        <v>1322</v>
      </c>
      <c r="AG2" t="s">
        <v>1323</v>
      </c>
      <c r="AH2" t="s">
        <v>1324</v>
      </c>
      <c r="AI2" t="s">
        <v>1325</v>
      </c>
      <c r="AJ2" t="s">
        <v>1326</v>
      </c>
      <c r="AK2" t="s">
        <v>1327</v>
      </c>
      <c r="AL2" t="s">
        <v>1328</v>
      </c>
      <c r="AM2" t="s">
        <v>1329</v>
      </c>
    </row>
    <row r="3" spans="2:39" x14ac:dyDescent="0.45">
      <c r="B3" t="s">
        <v>1330</v>
      </c>
      <c r="C3">
        <v>100</v>
      </c>
      <c r="D3">
        <v>87.86</v>
      </c>
      <c r="E3">
        <v>92.12</v>
      </c>
      <c r="F3" t="s">
        <v>914</v>
      </c>
      <c r="G3">
        <v>78.42</v>
      </c>
      <c r="H3">
        <v>96</v>
      </c>
      <c r="I3">
        <v>88.89</v>
      </c>
      <c r="J3">
        <v>4.8899999999999997</v>
      </c>
      <c r="K3">
        <v>33.53</v>
      </c>
      <c r="L3">
        <v>100</v>
      </c>
      <c r="M3">
        <v>55.01</v>
      </c>
      <c r="N3">
        <v>34.69</v>
      </c>
      <c r="O3">
        <v>51.19</v>
      </c>
      <c r="P3">
        <v>48.65</v>
      </c>
      <c r="Q3">
        <v>60.51</v>
      </c>
      <c r="R3">
        <v>58.29</v>
      </c>
      <c r="S3">
        <v>49</v>
      </c>
      <c r="T3">
        <v>100</v>
      </c>
      <c r="U3">
        <v>59.24</v>
      </c>
      <c r="V3">
        <v>100</v>
      </c>
      <c r="W3">
        <v>72.22</v>
      </c>
      <c r="X3">
        <v>9.43</v>
      </c>
      <c r="Y3">
        <v>21.26</v>
      </c>
      <c r="Z3">
        <v>73.88</v>
      </c>
      <c r="AA3">
        <v>58.99</v>
      </c>
      <c r="AB3">
        <v>49.26</v>
      </c>
      <c r="AC3">
        <v>33.51</v>
      </c>
      <c r="AD3">
        <v>94.69</v>
      </c>
      <c r="AE3">
        <v>100</v>
      </c>
    </row>
    <row r="4" spans="2:39" x14ac:dyDescent="0.45">
      <c r="B4" t="s">
        <v>939</v>
      </c>
      <c r="C4" t="s">
        <v>915</v>
      </c>
      <c r="D4" t="s">
        <v>916</v>
      </c>
      <c r="E4" t="s">
        <v>917</v>
      </c>
      <c r="F4">
        <v>2</v>
      </c>
      <c r="G4">
        <v>99.4</v>
      </c>
      <c r="H4">
        <v>100</v>
      </c>
      <c r="I4">
        <v>100</v>
      </c>
      <c r="J4" t="s">
        <v>918</v>
      </c>
      <c r="K4">
        <v>69.84</v>
      </c>
      <c r="L4">
        <v>100</v>
      </c>
      <c r="M4">
        <v>100</v>
      </c>
      <c r="N4">
        <v>3.88</v>
      </c>
      <c r="O4">
        <v>49.29</v>
      </c>
      <c r="P4">
        <v>73.98</v>
      </c>
      <c r="Q4">
        <v>32.799999999999997</v>
      </c>
      <c r="R4">
        <v>34.659999999999997</v>
      </c>
      <c r="S4">
        <v>52.76</v>
      </c>
      <c r="T4">
        <v>52.24</v>
      </c>
      <c r="U4">
        <v>68.03</v>
      </c>
      <c r="V4">
        <v>58.29</v>
      </c>
      <c r="W4">
        <v>51</v>
      </c>
      <c r="X4">
        <v>89.46</v>
      </c>
      <c r="Y4">
        <v>66.61</v>
      </c>
      <c r="Z4">
        <v>74.02</v>
      </c>
      <c r="AA4">
        <v>77.78</v>
      </c>
      <c r="AB4">
        <v>11.13</v>
      </c>
      <c r="AC4">
        <v>28.95</v>
      </c>
      <c r="AD4">
        <v>67.44</v>
      </c>
      <c r="AE4">
        <v>35.01</v>
      </c>
      <c r="AF4">
        <v>40.67</v>
      </c>
      <c r="AG4">
        <v>40.729999999999997</v>
      </c>
      <c r="AH4" t="s">
        <v>919</v>
      </c>
    </row>
    <row r="5" spans="2:39" x14ac:dyDescent="0.45">
      <c r="B5" t="s">
        <v>920</v>
      </c>
      <c r="C5" t="s">
        <v>921</v>
      </c>
      <c r="D5">
        <v>3</v>
      </c>
      <c r="E5">
        <v>84</v>
      </c>
      <c r="F5">
        <v>57.63</v>
      </c>
      <c r="G5">
        <v>51.56</v>
      </c>
      <c r="H5" t="s">
        <v>922</v>
      </c>
      <c r="I5">
        <v>50.73</v>
      </c>
      <c r="J5">
        <v>52</v>
      </c>
      <c r="K5">
        <v>48.15</v>
      </c>
      <c r="L5">
        <v>13.77</v>
      </c>
      <c r="M5">
        <v>17.16</v>
      </c>
      <c r="N5">
        <v>64.680000000000007</v>
      </c>
      <c r="O5">
        <v>55.72</v>
      </c>
      <c r="P5">
        <v>35.29</v>
      </c>
      <c r="Q5">
        <v>58.54</v>
      </c>
      <c r="R5">
        <v>68.86</v>
      </c>
      <c r="S5">
        <v>37.07</v>
      </c>
      <c r="T5">
        <v>35.18</v>
      </c>
      <c r="U5">
        <v>50.43</v>
      </c>
      <c r="V5">
        <v>76.87</v>
      </c>
      <c r="W5">
        <v>52.49</v>
      </c>
      <c r="X5">
        <v>51.18</v>
      </c>
      <c r="Y5">
        <v>88.89</v>
      </c>
      <c r="Z5">
        <v>16.23</v>
      </c>
      <c r="AA5">
        <v>23.53</v>
      </c>
      <c r="AB5">
        <v>54.21</v>
      </c>
      <c r="AC5">
        <v>15.72</v>
      </c>
      <c r="AD5">
        <v>23.42</v>
      </c>
      <c r="AE5">
        <v>25.72</v>
      </c>
      <c r="AF5">
        <v>91.15</v>
      </c>
      <c r="AG5">
        <v>100</v>
      </c>
    </row>
    <row r="6" spans="2:39" x14ac:dyDescent="0.45">
      <c r="B6" t="s">
        <v>923</v>
      </c>
      <c r="C6" t="s">
        <v>924</v>
      </c>
      <c r="D6" t="s">
        <v>925</v>
      </c>
      <c r="E6" t="s">
        <v>926</v>
      </c>
      <c r="F6" t="s">
        <v>916</v>
      </c>
      <c r="G6" t="s">
        <v>927</v>
      </c>
      <c r="H6">
        <v>5</v>
      </c>
      <c r="I6">
        <v>80.900000000000006</v>
      </c>
      <c r="J6">
        <v>51.79</v>
      </c>
      <c r="K6">
        <v>44.95</v>
      </c>
      <c r="L6" t="s">
        <v>928</v>
      </c>
      <c r="M6">
        <v>84.59</v>
      </c>
      <c r="N6">
        <v>88</v>
      </c>
      <c r="O6">
        <v>85.19</v>
      </c>
      <c r="P6">
        <v>7.14</v>
      </c>
      <c r="Q6">
        <v>3.23</v>
      </c>
      <c r="R6">
        <v>85.3</v>
      </c>
      <c r="S6">
        <v>33.72</v>
      </c>
      <c r="T6">
        <v>41.9</v>
      </c>
      <c r="U6">
        <v>60.09</v>
      </c>
      <c r="V6">
        <v>37.99</v>
      </c>
      <c r="W6">
        <v>46.43</v>
      </c>
      <c r="X6">
        <v>42.71</v>
      </c>
      <c r="Y6">
        <v>38.11</v>
      </c>
      <c r="Z6">
        <v>90.48</v>
      </c>
      <c r="AA6">
        <v>58.45</v>
      </c>
      <c r="AB6">
        <v>59.84</v>
      </c>
      <c r="AC6">
        <v>66.67</v>
      </c>
      <c r="AD6">
        <v>4.9400000000000004</v>
      </c>
      <c r="AE6">
        <v>20.010000000000002</v>
      </c>
      <c r="AF6">
        <v>63.31</v>
      </c>
      <c r="AG6">
        <v>45.08</v>
      </c>
      <c r="AH6">
        <v>24.56</v>
      </c>
      <c r="AI6">
        <v>27.15</v>
      </c>
      <c r="AJ6">
        <v>65.489999999999995</v>
      </c>
      <c r="AK6">
        <v>100</v>
      </c>
    </row>
    <row r="7" spans="2:39" x14ac:dyDescent="0.45">
      <c r="B7" t="s">
        <v>929</v>
      </c>
      <c r="C7" t="s">
        <v>930</v>
      </c>
      <c r="D7" t="s">
        <v>924</v>
      </c>
      <c r="E7" t="s">
        <v>931</v>
      </c>
      <c r="F7" t="s">
        <v>932</v>
      </c>
      <c r="G7" t="s">
        <v>916</v>
      </c>
      <c r="H7" t="s">
        <v>933</v>
      </c>
      <c r="I7">
        <v>4</v>
      </c>
      <c r="J7">
        <v>80.5</v>
      </c>
      <c r="K7">
        <v>47.5</v>
      </c>
      <c r="L7">
        <v>48.71</v>
      </c>
      <c r="M7" t="s">
        <v>934</v>
      </c>
      <c r="N7">
        <v>63.25</v>
      </c>
      <c r="O7">
        <v>52</v>
      </c>
      <c r="P7">
        <v>59.26</v>
      </c>
      <c r="Q7">
        <v>11.92</v>
      </c>
      <c r="R7">
        <v>26.44</v>
      </c>
      <c r="S7">
        <v>78.5</v>
      </c>
      <c r="T7">
        <v>45.6</v>
      </c>
      <c r="U7">
        <v>36.950000000000003</v>
      </c>
      <c r="V7">
        <v>58.15</v>
      </c>
      <c r="W7">
        <v>67.08</v>
      </c>
      <c r="X7">
        <v>39.07</v>
      </c>
      <c r="Y7">
        <v>39.200000000000003</v>
      </c>
      <c r="Z7">
        <v>52.44</v>
      </c>
      <c r="AA7">
        <v>85.03</v>
      </c>
      <c r="AB7">
        <v>62.49</v>
      </c>
      <c r="AC7">
        <v>47.24</v>
      </c>
      <c r="AD7">
        <v>38.89</v>
      </c>
      <c r="AE7">
        <v>1.57</v>
      </c>
      <c r="AF7">
        <v>5.45</v>
      </c>
      <c r="AG7">
        <v>56.03</v>
      </c>
      <c r="AH7">
        <v>17.09</v>
      </c>
      <c r="AI7">
        <v>14.01</v>
      </c>
      <c r="AJ7">
        <v>33.08</v>
      </c>
      <c r="AK7">
        <v>41.59</v>
      </c>
      <c r="AL7">
        <v>100</v>
      </c>
    </row>
    <row r="8" spans="2:39" x14ac:dyDescent="0.45">
      <c r="B8" t="s">
        <v>935</v>
      </c>
      <c r="C8" t="s">
        <v>936</v>
      </c>
      <c r="D8">
        <v>7</v>
      </c>
      <c r="E8">
        <v>78.400000000000006</v>
      </c>
      <c r="F8">
        <v>26.02</v>
      </c>
      <c r="G8">
        <v>36</v>
      </c>
      <c r="H8" t="s">
        <v>937</v>
      </c>
      <c r="I8">
        <v>57.48</v>
      </c>
      <c r="J8">
        <v>44</v>
      </c>
      <c r="K8">
        <v>48.15</v>
      </c>
      <c r="L8">
        <v>20.89</v>
      </c>
      <c r="M8">
        <v>100</v>
      </c>
      <c r="N8">
        <v>67.34</v>
      </c>
      <c r="O8">
        <v>49.53</v>
      </c>
      <c r="P8">
        <v>37.979999999999997</v>
      </c>
      <c r="Q8">
        <v>51.91</v>
      </c>
      <c r="R8">
        <v>75.430000000000007</v>
      </c>
      <c r="S8">
        <v>39.71</v>
      </c>
      <c r="T8">
        <v>38.69</v>
      </c>
      <c r="U8">
        <v>32.659999999999997</v>
      </c>
      <c r="V8">
        <v>81.290000000000006</v>
      </c>
      <c r="W8">
        <v>49.59</v>
      </c>
      <c r="X8">
        <v>31.5</v>
      </c>
      <c r="Y8">
        <v>52.78</v>
      </c>
      <c r="Z8">
        <v>5.26</v>
      </c>
      <c r="AA8">
        <v>15.14</v>
      </c>
      <c r="AB8">
        <v>55.04</v>
      </c>
      <c r="AC8">
        <v>16.27</v>
      </c>
      <c r="AD8">
        <v>20.02</v>
      </c>
      <c r="AE8">
        <v>39.43</v>
      </c>
      <c r="AF8">
        <v>53.1</v>
      </c>
      <c r="AG8">
        <v>100</v>
      </c>
    </row>
    <row r="9" spans="2:39" x14ac:dyDescent="0.45">
      <c r="B9" t="s">
        <v>938</v>
      </c>
      <c r="C9" t="s">
        <v>939</v>
      </c>
      <c r="D9" t="s">
        <v>940</v>
      </c>
      <c r="E9">
        <v>8</v>
      </c>
      <c r="F9">
        <v>72.8</v>
      </c>
      <c r="G9">
        <v>14.55</v>
      </c>
      <c r="H9">
        <v>14.45</v>
      </c>
      <c r="I9" t="s">
        <v>941</v>
      </c>
      <c r="J9">
        <v>60.83</v>
      </c>
      <c r="K9">
        <v>12</v>
      </c>
      <c r="L9">
        <v>11.11</v>
      </c>
      <c r="M9">
        <v>2.6</v>
      </c>
      <c r="N9">
        <v>20.27</v>
      </c>
      <c r="O9">
        <v>16.78</v>
      </c>
      <c r="P9">
        <v>33.43</v>
      </c>
      <c r="Q9">
        <v>58.65</v>
      </c>
      <c r="R9">
        <v>90.34</v>
      </c>
      <c r="S9">
        <v>67.33</v>
      </c>
      <c r="T9">
        <v>71.34</v>
      </c>
      <c r="U9">
        <v>59.8</v>
      </c>
      <c r="V9">
        <v>38.68</v>
      </c>
      <c r="W9">
        <v>66.67</v>
      </c>
      <c r="X9">
        <v>77.91</v>
      </c>
      <c r="Y9">
        <v>11.02</v>
      </c>
      <c r="Z9">
        <v>8.33</v>
      </c>
      <c r="AA9">
        <v>41.61</v>
      </c>
      <c r="AB9">
        <v>53.59</v>
      </c>
      <c r="AC9">
        <v>57.85</v>
      </c>
      <c r="AD9">
        <v>0</v>
      </c>
      <c r="AE9">
        <v>21.43</v>
      </c>
      <c r="AF9">
        <v>19.21</v>
      </c>
      <c r="AG9">
        <v>67.260000000000005</v>
      </c>
      <c r="AH9">
        <v>0</v>
      </c>
    </row>
    <row r="10" spans="2:39" x14ac:dyDescent="0.45">
      <c r="B10" t="s">
        <v>942</v>
      </c>
      <c r="C10" t="s">
        <v>943</v>
      </c>
      <c r="D10">
        <v>6</v>
      </c>
      <c r="E10">
        <v>72.599999999999994</v>
      </c>
      <c r="F10">
        <v>40.340000000000003</v>
      </c>
      <c r="G10">
        <v>36.42</v>
      </c>
      <c r="H10" t="s">
        <v>944</v>
      </c>
      <c r="I10">
        <v>45.01</v>
      </c>
      <c r="J10">
        <v>44</v>
      </c>
      <c r="K10">
        <v>44.44</v>
      </c>
      <c r="L10">
        <v>22.87</v>
      </c>
      <c r="M10">
        <v>8.24</v>
      </c>
      <c r="N10">
        <v>67.72</v>
      </c>
      <c r="O10">
        <v>42.73</v>
      </c>
      <c r="P10">
        <v>36.86</v>
      </c>
      <c r="Q10">
        <v>50.46</v>
      </c>
      <c r="R10">
        <v>62.67</v>
      </c>
      <c r="S10">
        <v>29.02</v>
      </c>
      <c r="T10">
        <v>30.65</v>
      </c>
      <c r="U10">
        <v>32.950000000000003</v>
      </c>
      <c r="V10">
        <v>63.61</v>
      </c>
      <c r="W10">
        <v>46.42</v>
      </c>
      <c r="X10">
        <v>29.92</v>
      </c>
      <c r="Y10">
        <v>72.22</v>
      </c>
      <c r="Z10">
        <v>4.99</v>
      </c>
      <c r="AA10">
        <v>14.35</v>
      </c>
      <c r="AB10">
        <v>49.42</v>
      </c>
      <c r="AC10">
        <v>16.21</v>
      </c>
      <c r="AD10">
        <v>15.47</v>
      </c>
      <c r="AE10">
        <v>25.15</v>
      </c>
      <c r="AF10">
        <v>59.29</v>
      </c>
      <c r="AG10">
        <v>100</v>
      </c>
    </row>
    <row r="11" spans="2:39" x14ac:dyDescent="0.45">
      <c r="B11" t="s">
        <v>945</v>
      </c>
      <c r="C11" t="s">
        <v>946</v>
      </c>
      <c r="D11" t="s">
        <v>916</v>
      </c>
      <c r="E11" t="s">
        <v>947</v>
      </c>
      <c r="F11">
        <v>25</v>
      </c>
      <c r="G11">
        <v>71.8</v>
      </c>
      <c r="H11">
        <v>6.97</v>
      </c>
      <c r="I11">
        <v>10.69</v>
      </c>
      <c r="J11" t="s">
        <v>948</v>
      </c>
      <c r="K11">
        <v>46.89</v>
      </c>
      <c r="L11">
        <v>12</v>
      </c>
      <c r="M11">
        <v>11.11</v>
      </c>
      <c r="N11">
        <v>1.9</v>
      </c>
      <c r="O11">
        <v>29.6</v>
      </c>
      <c r="P11">
        <v>17.899999999999999</v>
      </c>
      <c r="Q11">
        <v>100</v>
      </c>
      <c r="R11">
        <v>27.54</v>
      </c>
      <c r="S11">
        <v>36.01</v>
      </c>
      <c r="T11">
        <v>87.64</v>
      </c>
      <c r="U11">
        <v>85.55</v>
      </c>
      <c r="V11">
        <v>73.37</v>
      </c>
      <c r="W11">
        <v>53.58</v>
      </c>
      <c r="X11">
        <v>56.12</v>
      </c>
      <c r="Y11">
        <v>64.53</v>
      </c>
      <c r="Z11">
        <v>9.4499999999999993</v>
      </c>
      <c r="AA11">
        <v>8.33</v>
      </c>
      <c r="AB11">
        <v>23.56</v>
      </c>
      <c r="AC11">
        <v>31.67</v>
      </c>
      <c r="AD11">
        <v>49.26</v>
      </c>
      <c r="AE11">
        <v>3.63</v>
      </c>
      <c r="AF11">
        <v>13.57</v>
      </c>
      <c r="AG11">
        <v>7.17</v>
      </c>
      <c r="AH11">
        <v>68.14</v>
      </c>
      <c r="AI11">
        <v>0</v>
      </c>
    </row>
    <row r="12" spans="2:39" x14ac:dyDescent="0.45">
      <c r="B12" t="s">
        <v>949</v>
      </c>
      <c r="C12" t="s">
        <v>950</v>
      </c>
      <c r="D12">
        <v>8</v>
      </c>
      <c r="E12">
        <v>70.900000000000006</v>
      </c>
      <c r="F12">
        <v>37.78</v>
      </c>
      <c r="G12">
        <v>33.82</v>
      </c>
      <c r="H12" t="s">
        <v>951</v>
      </c>
      <c r="I12">
        <v>70.150000000000006</v>
      </c>
      <c r="J12">
        <v>68</v>
      </c>
      <c r="K12">
        <v>81.48</v>
      </c>
      <c r="L12">
        <v>2.2000000000000002</v>
      </c>
      <c r="M12">
        <v>8.82</v>
      </c>
      <c r="N12">
        <v>45.36</v>
      </c>
      <c r="O12">
        <v>32.92</v>
      </c>
      <c r="P12">
        <v>35.119999999999997</v>
      </c>
      <c r="Q12">
        <v>51.24</v>
      </c>
      <c r="R12">
        <v>35.770000000000003</v>
      </c>
      <c r="S12">
        <v>38.03</v>
      </c>
      <c r="T12">
        <v>39.200000000000003</v>
      </c>
      <c r="U12">
        <v>33.81</v>
      </c>
      <c r="V12">
        <v>82.65</v>
      </c>
      <c r="W12">
        <v>57.54</v>
      </c>
      <c r="X12">
        <v>22.05</v>
      </c>
      <c r="Y12">
        <v>66.67</v>
      </c>
      <c r="Z12">
        <v>9.35</v>
      </c>
      <c r="AA12">
        <v>20.11</v>
      </c>
      <c r="AB12">
        <v>69.260000000000005</v>
      </c>
      <c r="AC12">
        <v>32.51</v>
      </c>
      <c r="AD12">
        <v>52.18</v>
      </c>
      <c r="AE12">
        <v>46.92</v>
      </c>
      <c r="AF12">
        <v>92.04</v>
      </c>
      <c r="AG12">
        <v>100</v>
      </c>
    </row>
    <row r="13" spans="2:39" x14ac:dyDescent="0.45">
      <c r="B13" t="s">
        <v>952</v>
      </c>
      <c r="C13" t="s">
        <v>953</v>
      </c>
      <c r="D13">
        <v>8</v>
      </c>
      <c r="E13">
        <v>70.400000000000006</v>
      </c>
      <c r="F13">
        <v>12.5</v>
      </c>
      <c r="G13">
        <v>27.08</v>
      </c>
      <c r="H13" t="s">
        <v>954</v>
      </c>
      <c r="I13">
        <v>53.27</v>
      </c>
      <c r="J13">
        <v>40</v>
      </c>
      <c r="K13">
        <v>48.15</v>
      </c>
      <c r="L13">
        <v>19.07</v>
      </c>
      <c r="M13">
        <v>25.55</v>
      </c>
      <c r="N13">
        <v>50.16</v>
      </c>
      <c r="O13">
        <v>42.54</v>
      </c>
      <c r="P13">
        <v>27.13</v>
      </c>
      <c r="Q13">
        <v>39.49</v>
      </c>
      <c r="R13">
        <v>69.87</v>
      </c>
      <c r="S13">
        <v>38.369999999999997</v>
      </c>
      <c r="T13">
        <v>33.67</v>
      </c>
      <c r="U13">
        <v>37.82</v>
      </c>
      <c r="V13">
        <v>65.650000000000006</v>
      </c>
      <c r="W13">
        <v>59.86</v>
      </c>
      <c r="X13">
        <v>21.26</v>
      </c>
      <c r="Y13">
        <v>100</v>
      </c>
      <c r="Z13">
        <v>2.4300000000000002</v>
      </c>
      <c r="AA13">
        <v>8.74</v>
      </c>
      <c r="AB13">
        <v>48.6</v>
      </c>
      <c r="AC13">
        <v>19.23</v>
      </c>
      <c r="AD13">
        <v>68.63</v>
      </c>
      <c r="AE13">
        <v>65.760000000000005</v>
      </c>
      <c r="AF13">
        <v>34.51</v>
      </c>
      <c r="AG13">
        <v>100</v>
      </c>
    </row>
    <row r="14" spans="2:39" x14ac:dyDescent="0.45">
      <c r="B14" t="s">
        <v>955</v>
      </c>
      <c r="C14" t="s">
        <v>939</v>
      </c>
      <c r="D14" t="s">
        <v>956</v>
      </c>
      <c r="E14">
        <v>15</v>
      </c>
      <c r="F14">
        <v>70.3</v>
      </c>
      <c r="G14">
        <v>14.18</v>
      </c>
      <c r="H14">
        <v>33.69</v>
      </c>
      <c r="I14" t="s">
        <v>957</v>
      </c>
      <c r="J14">
        <v>51.38</v>
      </c>
      <c r="K14">
        <v>12</v>
      </c>
      <c r="L14">
        <v>11.11</v>
      </c>
      <c r="M14">
        <v>2.83</v>
      </c>
      <c r="N14">
        <v>32.42</v>
      </c>
      <c r="O14">
        <v>26.21</v>
      </c>
      <c r="P14">
        <v>45.17</v>
      </c>
      <c r="Q14">
        <v>46.2</v>
      </c>
      <c r="R14">
        <v>82.77</v>
      </c>
      <c r="S14">
        <v>97.21</v>
      </c>
      <c r="T14">
        <v>55.86</v>
      </c>
      <c r="U14">
        <v>51.76</v>
      </c>
      <c r="V14">
        <v>34.67</v>
      </c>
      <c r="W14">
        <v>57.14</v>
      </c>
      <c r="X14">
        <v>71.45</v>
      </c>
      <c r="Y14">
        <v>15.75</v>
      </c>
      <c r="Z14">
        <v>5.56</v>
      </c>
      <c r="AA14">
        <v>17.010000000000002</v>
      </c>
      <c r="AB14">
        <v>26.44</v>
      </c>
      <c r="AC14">
        <v>49.09</v>
      </c>
      <c r="AD14">
        <v>3.85</v>
      </c>
      <c r="AE14">
        <v>32.57</v>
      </c>
      <c r="AF14">
        <v>21.68</v>
      </c>
      <c r="AG14">
        <v>71.680000000000007</v>
      </c>
      <c r="AH14">
        <v>0</v>
      </c>
    </row>
    <row r="15" spans="2:39" x14ac:dyDescent="0.45">
      <c r="B15" t="s">
        <v>958</v>
      </c>
      <c r="C15" t="s">
        <v>959</v>
      </c>
      <c r="D15" t="s">
        <v>960</v>
      </c>
      <c r="E15" t="s">
        <v>916</v>
      </c>
      <c r="F15" t="s">
        <v>961</v>
      </c>
      <c r="G15">
        <v>15</v>
      </c>
      <c r="H15">
        <v>68.900000000000006</v>
      </c>
      <c r="I15">
        <v>19.690000000000001</v>
      </c>
      <c r="J15">
        <v>35.159999999999997</v>
      </c>
      <c r="K15" t="s">
        <v>962</v>
      </c>
      <c r="L15">
        <v>71.13</v>
      </c>
      <c r="M15">
        <v>96</v>
      </c>
      <c r="N15">
        <v>96.3</v>
      </c>
      <c r="O15">
        <v>2.7</v>
      </c>
      <c r="P15">
        <v>2.41</v>
      </c>
      <c r="Q15">
        <v>71.930000000000007</v>
      </c>
      <c r="R15">
        <v>29.25</v>
      </c>
      <c r="S15">
        <v>33.26</v>
      </c>
      <c r="T15">
        <v>58.11</v>
      </c>
      <c r="U15">
        <v>40.479999999999997</v>
      </c>
      <c r="V15">
        <v>44.77</v>
      </c>
      <c r="W15">
        <v>41.21</v>
      </c>
      <c r="X15">
        <v>33.520000000000003</v>
      </c>
      <c r="Y15">
        <v>62.24</v>
      </c>
      <c r="Z15">
        <v>63.76</v>
      </c>
      <c r="AA15">
        <v>50.39</v>
      </c>
      <c r="AB15">
        <v>22.22</v>
      </c>
      <c r="AC15">
        <v>7.27</v>
      </c>
      <c r="AD15">
        <v>15.68</v>
      </c>
      <c r="AE15">
        <v>60.66</v>
      </c>
      <c r="AF15">
        <v>21.48</v>
      </c>
      <c r="AG15">
        <v>14.63</v>
      </c>
      <c r="AH15">
        <v>30.78</v>
      </c>
      <c r="AI15">
        <v>53.1</v>
      </c>
      <c r="AJ15">
        <v>100</v>
      </c>
    </row>
    <row r="16" spans="2:39" x14ac:dyDescent="0.45">
      <c r="B16" t="s">
        <v>963</v>
      </c>
      <c r="C16" t="s">
        <v>964</v>
      </c>
      <c r="D16">
        <v>11</v>
      </c>
      <c r="E16">
        <v>68.599999999999994</v>
      </c>
      <c r="F16">
        <v>24.67</v>
      </c>
      <c r="G16">
        <v>29.39</v>
      </c>
      <c r="H16" t="s">
        <v>965</v>
      </c>
      <c r="I16">
        <v>65.75</v>
      </c>
      <c r="J16">
        <v>40</v>
      </c>
      <c r="K16">
        <v>40.74</v>
      </c>
      <c r="L16">
        <v>24.99</v>
      </c>
      <c r="M16">
        <v>28.23</v>
      </c>
      <c r="N16">
        <v>75.69</v>
      </c>
      <c r="O16">
        <v>34.58</v>
      </c>
      <c r="P16">
        <v>32.36</v>
      </c>
      <c r="Q16">
        <v>46.48</v>
      </c>
      <c r="R16">
        <v>58.61</v>
      </c>
      <c r="S16">
        <v>27.7</v>
      </c>
      <c r="T16">
        <v>33.67</v>
      </c>
      <c r="U16">
        <v>32.950000000000003</v>
      </c>
      <c r="V16">
        <v>56.8</v>
      </c>
      <c r="W16">
        <v>59</v>
      </c>
      <c r="X16">
        <v>26.77</v>
      </c>
      <c r="Y16">
        <v>66.67</v>
      </c>
      <c r="Z16">
        <v>7.78</v>
      </c>
      <c r="AA16">
        <v>9.52</v>
      </c>
      <c r="AB16">
        <v>36.200000000000003</v>
      </c>
      <c r="AC16">
        <v>15.25</v>
      </c>
      <c r="AD16">
        <v>9.7799999999999994</v>
      </c>
      <c r="AE16">
        <v>16.64</v>
      </c>
      <c r="AF16">
        <v>56.64</v>
      </c>
      <c r="AG16">
        <v>100</v>
      </c>
    </row>
    <row r="17" spans="2:38" x14ac:dyDescent="0.45">
      <c r="B17" t="s">
        <v>966</v>
      </c>
      <c r="C17" t="s">
        <v>967</v>
      </c>
      <c r="D17" t="s">
        <v>968</v>
      </c>
      <c r="E17" t="s">
        <v>916</v>
      </c>
      <c r="F17" t="s">
        <v>969</v>
      </c>
      <c r="G17">
        <v>15</v>
      </c>
      <c r="H17">
        <v>68.5</v>
      </c>
      <c r="I17">
        <v>22.12</v>
      </c>
      <c r="J17">
        <v>3.66</v>
      </c>
      <c r="K17" t="s">
        <v>970</v>
      </c>
      <c r="L17">
        <v>64.14</v>
      </c>
      <c r="M17">
        <v>8</v>
      </c>
      <c r="N17">
        <v>11.11</v>
      </c>
      <c r="O17">
        <v>0</v>
      </c>
      <c r="P17">
        <v>0</v>
      </c>
      <c r="Q17">
        <v>63.23</v>
      </c>
      <c r="R17">
        <v>29.36</v>
      </c>
      <c r="S17">
        <v>32.96</v>
      </c>
      <c r="T17">
        <v>39.07</v>
      </c>
      <c r="U17">
        <v>20.04</v>
      </c>
      <c r="V17">
        <v>21.35</v>
      </c>
      <c r="W17">
        <v>45.73</v>
      </c>
      <c r="X17">
        <v>26.93</v>
      </c>
      <c r="Y17">
        <v>38.1</v>
      </c>
      <c r="Z17">
        <v>51.81</v>
      </c>
      <c r="AA17">
        <v>44.88</v>
      </c>
      <c r="AB17">
        <v>41.67</v>
      </c>
      <c r="AC17">
        <v>11.87</v>
      </c>
      <c r="AD17">
        <v>31.58</v>
      </c>
      <c r="AE17">
        <v>41.65</v>
      </c>
      <c r="AF17">
        <v>5.81</v>
      </c>
      <c r="AG17">
        <v>88.8</v>
      </c>
      <c r="AH17">
        <v>65.760000000000005</v>
      </c>
      <c r="AI17">
        <v>66.37</v>
      </c>
      <c r="AJ17">
        <v>0</v>
      </c>
    </row>
    <row r="18" spans="2:38" x14ac:dyDescent="0.45">
      <c r="B18" t="s">
        <v>971</v>
      </c>
      <c r="C18" t="s">
        <v>972</v>
      </c>
      <c r="D18">
        <v>27</v>
      </c>
      <c r="E18">
        <v>67.599999999999994</v>
      </c>
      <c r="F18">
        <v>21.89</v>
      </c>
      <c r="G18">
        <v>29.69</v>
      </c>
      <c r="H18" t="s">
        <v>973</v>
      </c>
      <c r="I18">
        <v>59.63</v>
      </c>
      <c r="J18">
        <v>60</v>
      </c>
      <c r="K18">
        <v>74.069999999999993</v>
      </c>
      <c r="L18">
        <v>8.59</v>
      </c>
      <c r="M18">
        <v>71.47</v>
      </c>
      <c r="N18">
        <v>79.88</v>
      </c>
      <c r="O18">
        <v>33.700000000000003</v>
      </c>
      <c r="P18">
        <v>30.35</v>
      </c>
      <c r="Q18">
        <v>63.97</v>
      </c>
      <c r="R18">
        <v>31</v>
      </c>
      <c r="S18">
        <v>37.950000000000003</v>
      </c>
      <c r="T18">
        <v>37.69</v>
      </c>
      <c r="U18">
        <v>33.81</v>
      </c>
      <c r="V18">
        <v>82.31</v>
      </c>
      <c r="W18">
        <v>46.29</v>
      </c>
      <c r="X18">
        <v>28.35</v>
      </c>
      <c r="Y18">
        <v>27.78</v>
      </c>
      <c r="Z18">
        <v>3.63</v>
      </c>
      <c r="AA18">
        <v>6.29</v>
      </c>
      <c r="AB18">
        <v>64.459999999999994</v>
      </c>
      <c r="AC18">
        <v>30.91</v>
      </c>
      <c r="AD18">
        <v>16.93</v>
      </c>
      <c r="AE18">
        <v>19.670000000000002</v>
      </c>
      <c r="AF18">
        <v>44.25</v>
      </c>
      <c r="AG18">
        <v>100</v>
      </c>
    </row>
    <row r="19" spans="2:38" x14ac:dyDescent="0.45">
      <c r="B19" t="s">
        <v>974</v>
      </c>
      <c r="C19" t="s">
        <v>939</v>
      </c>
      <c r="D19" t="s">
        <v>946</v>
      </c>
      <c r="E19" t="s">
        <v>916</v>
      </c>
      <c r="F19" t="s">
        <v>975</v>
      </c>
      <c r="G19">
        <v>18</v>
      </c>
      <c r="H19">
        <v>67.400000000000006</v>
      </c>
      <c r="I19">
        <v>2.77</v>
      </c>
      <c r="J19">
        <v>5.23</v>
      </c>
      <c r="K19" t="s">
        <v>976</v>
      </c>
      <c r="L19">
        <v>72.25</v>
      </c>
      <c r="M19">
        <v>8</v>
      </c>
      <c r="N19">
        <v>7.41</v>
      </c>
      <c r="O19">
        <v>2.89</v>
      </c>
      <c r="P19">
        <v>0</v>
      </c>
      <c r="Q19">
        <v>17.36</v>
      </c>
      <c r="R19">
        <v>41.42</v>
      </c>
      <c r="S19">
        <v>32.729999999999997</v>
      </c>
      <c r="T19">
        <v>69.64</v>
      </c>
      <c r="U19">
        <v>73.25</v>
      </c>
      <c r="V19">
        <v>99.02</v>
      </c>
      <c r="W19">
        <v>89.95</v>
      </c>
      <c r="X19">
        <v>71.349999999999994</v>
      </c>
      <c r="Y19">
        <v>56.12</v>
      </c>
      <c r="Z19">
        <v>61.18</v>
      </c>
      <c r="AA19">
        <v>3.15</v>
      </c>
      <c r="AB19">
        <v>8.33</v>
      </c>
      <c r="AC19">
        <v>31.4</v>
      </c>
      <c r="AD19">
        <v>39.97</v>
      </c>
      <c r="AE19">
        <v>47.93</v>
      </c>
      <c r="AF19">
        <v>1.96</v>
      </c>
      <c r="AG19">
        <v>11.3</v>
      </c>
      <c r="AH19">
        <v>8.49</v>
      </c>
      <c r="AI19">
        <v>46.9</v>
      </c>
      <c r="AJ19">
        <v>0</v>
      </c>
    </row>
    <row r="20" spans="2:38" x14ac:dyDescent="0.45">
      <c r="B20" t="s">
        <v>971</v>
      </c>
      <c r="C20" t="s">
        <v>946</v>
      </c>
      <c r="D20" t="s">
        <v>924</v>
      </c>
      <c r="E20" t="s">
        <v>977</v>
      </c>
      <c r="F20" t="s">
        <v>978</v>
      </c>
      <c r="G20" t="s">
        <v>916</v>
      </c>
      <c r="H20" t="s">
        <v>979</v>
      </c>
      <c r="I20">
        <v>12</v>
      </c>
      <c r="J20">
        <v>67.3</v>
      </c>
      <c r="K20">
        <v>10.9</v>
      </c>
      <c r="L20">
        <v>13.66</v>
      </c>
      <c r="M20" t="s">
        <v>980</v>
      </c>
      <c r="N20">
        <v>66.760000000000005</v>
      </c>
      <c r="O20">
        <v>12</v>
      </c>
      <c r="P20">
        <v>11.11</v>
      </c>
      <c r="Q20">
        <v>0.77</v>
      </c>
      <c r="R20">
        <v>0</v>
      </c>
      <c r="S20">
        <v>23.65</v>
      </c>
      <c r="T20">
        <v>34.369999999999997</v>
      </c>
      <c r="U20">
        <v>49.5</v>
      </c>
      <c r="V20">
        <v>100</v>
      </c>
      <c r="W20">
        <v>76.900000000000006</v>
      </c>
      <c r="X20">
        <v>53.24</v>
      </c>
      <c r="Y20">
        <v>44.22</v>
      </c>
      <c r="Z20">
        <v>32.090000000000003</v>
      </c>
      <c r="AA20">
        <v>54.42</v>
      </c>
      <c r="AB20">
        <v>84.2</v>
      </c>
      <c r="AC20">
        <v>14.17</v>
      </c>
      <c r="AD20">
        <v>8.33</v>
      </c>
      <c r="AE20">
        <v>32.9</v>
      </c>
      <c r="AF20">
        <v>40.369999999999997</v>
      </c>
      <c r="AG20">
        <v>48.43</v>
      </c>
      <c r="AH20">
        <v>1.73</v>
      </c>
      <c r="AI20">
        <v>11.31</v>
      </c>
      <c r="AJ20">
        <v>12.18</v>
      </c>
      <c r="AK20">
        <v>54.87</v>
      </c>
      <c r="AL20">
        <v>0</v>
      </c>
    </row>
    <row r="21" spans="2:38" x14ac:dyDescent="0.45">
      <c r="B21" t="s">
        <v>981</v>
      </c>
      <c r="C21" t="s">
        <v>982</v>
      </c>
      <c r="D21" t="s">
        <v>983</v>
      </c>
      <c r="E21" t="s">
        <v>916</v>
      </c>
      <c r="F21" t="s">
        <v>984</v>
      </c>
      <c r="G21">
        <v>18</v>
      </c>
      <c r="H21">
        <v>67.099999999999994</v>
      </c>
      <c r="I21">
        <v>30.7</v>
      </c>
      <c r="J21">
        <v>8.4</v>
      </c>
      <c r="K21" t="s">
        <v>985</v>
      </c>
      <c r="L21">
        <v>57.74</v>
      </c>
      <c r="M21">
        <v>12</v>
      </c>
      <c r="N21">
        <v>14.81</v>
      </c>
      <c r="O21">
        <v>0</v>
      </c>
      <c r="P21">
        <v>0</v>
      </c>
      <c r="Q21">
        <v>41.83</v>
      </c>
      <c r="R21">
        <v>13.98</v>
      </c>
      <c r="S21">
        <v>33.86</v>
      </c>
      <c r="T21">
        <v>38.94</v>
      </c>
      <c r="U21">
        <v>32.85</v>
      </c>
      <c r="V21">
        <v>28.39</v>
      </c>
      <c r="W21">
        <v>44.22</v>
      </c>
      <c r="X21">
        <v>34.96</v>
      </c>
      <c r="Y21">
        <v>78.23</v>
      </c>
      <c r="Z21">
        <v>23.76</v>
      </c>
      <c r="AA21">
        <v>53.54</v>
      </c>
      <c r="AB21">
        <v>58.33</v>
      </c>
      <c r="AC21">
        <v>21.66</v>
      </c>
      <c r="AD21">
        <v>44.4</v>
      </c>
      <c r="AE21">
        <v>67.27</v>
      </c>
      <c r="AF21">
        <v>69.83</v>
      </c>
      <c r="AG21">
        <v>96.21</v>
      </c>
      <c r="AH21">
        <v>100</v>
      </c>
      <c r="AI21">
        <v>68.14</v>
      </c>
      <c r="AJ21">
        <v>0</v>
      </c>
    </row>
    <row r="22" spans="2:38" x14ac:dyDescent="0.45">
      <c r="B22" t="s">
        <v>986</v>
      </c>
      <c r="C22" t="s">
        <v>946</v>
      </c>
      <c r="D22" t="s">
        <v>924</v>
      </c>
      <c r="E22" t="s">
        <v>987</v>
      </c>
      <c r="F22" t="s">
        <v>988</v>
      </c>
      <c r="G22" t="s">
        <v>989</v>
      </c>
      <c r="H22" t="s">
        <v>990</v>
      </c>
      <c r="I22">
        <v>13</v>
      </c>
      <c r="J22">
        <v>65.599999999999994</v>
      </c>
      <c r="K22">
        <v>9.11</v>
      </c>
      <c r="L22">
        <v>19.04</v>
      </c>
      <c r="M22" t="s">
        <v>991</v>
      </c>
      <c r="N22">
        <v>42.48</v>
      </c>
      <c r="O22">
        <v>12</v>
      </c>
      <c r="P22">
        <v>11.11</v>
      </c>
      <c r="Q22">
        <v>3.8</v>
      </c>
      <c r="R22">
        <v>0</v>
      </c>
      <c r="S22">
        <v>19.18</v>
      </c>
      <c r="T22">
        <v>36.76</v>
      </c>
      <c r="U22">
        <v>32.86</v>
      </c>
      <c r="V22">
        <v>69.040000000000006</v>
      </c>
      <c r="W22">
        <v>68.97</v>
      </c>
      <c r="X22">
        <v>77.84</v>
      </c>
      <c r="Y22">
        <v>75.38</v>
      </c>
      <c r="Z22">
        <v>40.69</v>
      </c>
      <c r="AA22">
        <v>58.84</v>
      </c>
      <c r="AB22">
        <v>93.86</v>
      </c>
      <c r="AC22">
        <v>11.02</v>
      </c>
      <c r="AD22">
        <v>5.56</v>
      </c>
      <c r="AE22">
        <v>31.02</v>
      </c>
      <c r="AF22">
        <v>47.04</v>
      </c>
      <c r="AG22">
        <v>52.89</v>
      </c>
      <c r="AH22">
        <v>2.23</v>
      </c>
      <c r="AI22">
        <v>29.56</v>
      </c>
      <c r="AJ22">
        <v>15.63</v>
      </c>
      <c r="AK22">
        <v>53.1</v>
      </c>
      <c r="AL22">
        <v>0</v>
      </c>
    </row>
    <row r="23" spans="2:38" x14ac:dyDescent="0.45">
      <c r="B23" t="s">
        <v>992</v>
      </c>
      <c r="C23" t="s">
        <v>946</v>
      </c>
      <c r="D23" t="s">
        <v>916</v>
      </c>
      <c r="E23" t="s">
        <v>993</v>
      </c>
      <c r="F23">
        <v>23</v>
      </c>
      <c r="G23">
        <v>64.8</v>
      </c>
      <c r="H23">
        <v>6.96</v>
      </c>
      <c r="I23">
        <v>15.34</v>
      </c>
      <c r="J23" t="s">
        <v>994</v>
      </c>
      <c r="K23">
        <v>51.26</v>
      </c>
      <c r="L23">
        <v>12</v>
      </c>
      <c r="M23">
        <v>11.11</v>
      </c>
      <c r="N23">
        <v>0.59</v>
      </c>
      <c r="O23">
        <v>14.29</v>
      </c>
      <c r="P23">
        <v>12.75</v>
      </c>
      <c r="Q23">
        <v>82.69</v>
      </c>
      <c r="R23">
        <v>34.07</v>
      </c>
      <c r="S23">
        <v>53.06</v>
      </c>
      <c r="T23">
        <v>78.180000000000007</v>
      </c>
      <c r="U23">
        <v>56.51</v>
      </c>
      <c r="V23">
        <v>47.24</v>
      </c>
      <c r="W23">
        <v>34.96</v>
      </c>
      <c r="X23">
        <v>55.78</v>
      </c>
      <c r="Y23">
        <v>74.319999999999993</v>
      </c>
      <c r="Z23">
        <v>12.6</v>
      </c>
      <c r="AA23">
        <v>2.78</v>
      </c>
      <c r="AB23">
        <v>19.559999999999999</v>
      </c>
      <c r="AC23">
        <v>25.98</v>
      </c>
      <c r="AD23">
        <v>44.79</v>
      </c>
      <c r="AE23">
        <v>17.059999999999999</v>
      </c>
      <c r="AF23">
        <v>8.7100000000000009</v>
      </c>
      <c r="AG23">
        <v>6.91</v>
      </c>
      <c r="AH23">
        <v>41.59</v>
      </c>
      <c r="AI23">
        <v>0</v>
      </c>
    </row>
    <row r="24" spans="2:38" x14ac:dyDescent="0.45">
      <c r="B24" t="s">
        <v>992</v>
      </c>
      <c r="C24" t="s">
        <v>946</v>
      </c>
      <c r="D24" t="s">
        <v>916</v>
      </c>
      <c r="E24" t="s">
        <v>995</v>
      </c>
      <c r="F24">
        <v>23</v>
      </c>
      <c r="G24">
        <v>64.599999999999994</v>
      </c>
      <c r="H24">
        <v>5.42</v>
      </c>
      <c r="I24">
        <v>8.67</v>
      </c>
      <c r="J24" t="s">
        <v>996</v>
      </c>
      <c r="K24">
        <v>45.37</v>
      </c>
      <c r="L24">
        <v>12</v>
      </c>
      <c r="M24">
        <v>11.11</v>
      </c>
      <c r="N24">
        <v>7.9</v>
      </c>
      <c r="O24">
        <v>3.27</v>
      </c>
      <c r="P24">
        <v>12.93</v>
      </c>
      <c r="Q24">
        <v>33.07</v>
      </c>
      <c r="R24">
        <v>41.24</v>
      </c>
      <c r="S24">
        <v>79.88</v>
      </c>
      <c r="T24">
        <v>70.459999999999994</v>
      </c>
      <c r="U24">
        <v>48.31</v>
      </c>
      <c r="V24">
        <v>45.23</v>
      </c>
      <c r="W24">
        <v>36.96</v>
      </c>
      <c r="X24">
        <v>45.58</v>
      </c>
      <c r="Y24">
        <v>86.02</v>
      </c>
      <c r="Z24">
        <v>18.899999999999999</v>
      </c>
      <c r="AA24">
        <v>30.56</v>
      </c>
      <c r="AB24">
        <v>44.65</v>
      </c>
      <c r="AC24">
        <v>53.61</v>
      </c>
      <c r="AD24">
        <v>40.99</v>
      </c>
      <c r="AE24">
        <v>2.14</v>
      </c>
      <c r="AF24">
        <v>8.08</v>
      </c>
      <c r="AG24">
        <v>5.73</v>
      </c>
      <c r="AH24">
        <v>61.06</v>
      </c>
      <c r="AI24">
        <v>0</v>
      </c>
    </row>
    <row r="25" spans="2:38" x14ac:dyDescent="0.45">
      <c r="B25" t="s">
        <v>997</v>
      </c>
      <c r="C25" t="s">
        <v>998</v>
      </c>
      <c r="D25">
        <v>20</v>
      </c>
      <c r="E25">
        <v>64</v>
      </c>
      <c r="F25">
        <v>14.43</v>
      </c>
      <c r="G25">
        <v>30.3</v>
      </c>
      <c r="H25" t="s">
        <v>999</v>
      </c>
      <c r="I25">
        <v>50.77</v>
      </c>
      <c r="J25">
        <v>28</v>
      </c>
      <c r="K25">
        <v>33.33</v>
      </c>
      <c r="L25">
        <v>22.39</v>
      </c>
      <c r="M25">
        <v>16.649999999999999</v>
      </c>
      <c r="N25">
        <v>55.74</v>
      </c>
      <c r="O25">
        <v>30.44</v>
      </c>
      <c r="P25">
        <v>31.07</v>
      </c>
      <c r="Q25">
        <v>50.98</v>
      </c>
      <c r="R25">
        <v>60.59</v>
      </c>
      <c r="S25">
        <v>32.36</v>
      </c>
      <c r="T25">
        <v>36.68</v>
      </c>
      <c r="U25">
        <v>36.96</v>
      </c>
      <c r="V25">
        <v>60.54</v>
      </c>
      <c r="W25">
        <v>44.73</v>
      </c>
      <c r="X25">
        <v>22.05</v>
      </c>
      <c r="Y25">
        <v>52.78</v>
      </c>
      <c r="Z25">
        <v>8.3699999999999992</v>
      </c>
      <c r="AA25">
        <v>12.62</v>
      </c>
      <c r="AB25">
        <v>39.5</v>
      </c>
      <c r="AC25">
        <v>12.6</v>
      </c>
      <c r="AD25">
        <v>23.31</v>
      </c>
      <c r="AE25">
        <v>18.96</v>
      </c>
      <c r="AF25">
        <v>49.56</v>
      </c>
      <c r="AG25">
        <v>100</v>
      </c>
    </row>
    <row r="26" spans="2:38" x14ac:dyDescent="0.45">
      <c r="B26" t="s">
        <v>1000</v>
      </c>
      <c r="C26" t="s">
        <v>1001</v>
      </c>
      <c r="D26">
        <v>20</v>
      </c>
      <c r="E26">
        <v>63.7</v>
      </c>
      <c r="F26">
        <v>14.36</v>
      </c>
      <c r="G26">
        <v>26.64</v>
      </c>
      <c r="H26" t="s">
        <v>1002</v>
      </c>
      <c r="I26">
        <v>66.63</v>
      </c>
      <c r="J26">
        <v>68</v>
      </c>
      <c r="K26">
        <v>74.069999999999993</v>
      </c>
      <c r="L26">
        <v>11.22</v>
      </c>
      <c r="M26">
        <v>8.99</v>
      </c>
      <c r="N26">
        <v>79.680000000000007</v>
      </c>
      <c r="O26">
        <v>37.36</v>
      </c>
      <c r="P26">
        <v>29.12</v>
      </c>
      <c r="Q26">
        <v>46.39</v>
      </c>
      <c r="R26">
        <v>30.62</v>
      </c>
      <c r="S26">
        <v>35.26</v>
      </c>
      <c r="T26">
        <v>34.67</v>
      </c>
      <c r="U26">
        <v>39.83</v>
      </c>
      <c r="V26">
        <v>68.709999999999994</v>
      </c>
      <c r="W26">
        <v>54.07</v>
      </c>
      <c r="X26">
        <v>18.11</v>
      </c>
      <c r="Y26">
        <v>27.78</v>
      </c>
      <c r="Z26">
        <v>7.51</v>
      </c>
      <c r="AA26">
        <v>25.25</v>
      </c>
      <c r="AB26">
        <v>50.74</v>
      </c>
      <c r="AC26">
        <v>26.65</v>
      </c>
      <c r="AD26">
        <v>13.85</v>
      </c>
      <c r="AE26">
        <v>58.28</v>
      </c>
      <c r="AF26">
        <v>61.95</v>
      </c>
      <c r="AG26">
        <v>100</v>
      </c>
    </row>
    <row r="27" spans="2:38" x14ac:dyDescent="0.45">
      <c r="B27" t="s">
        <v>1003</v>
      </c>
      <c r="C27" t="s">
        <v>1004</v>
      </c>
      <c r="D27" t="s">
        <v>989</v>
      </c>
      <c r="E27" t="s">
        <v>1005</v>
      </c>
      <c r="F27">
        <v>22</v>
      </c>
      <c r="G27">
        <v>61.3</v>
      </c>
      <c r="H27">
        <v>12.62</v>
      </c>
      <c r="I27">
        <v>14.4</v>
      </c>
      <c r="J27" t="s">
        <v>1006</v>
      </c>
      <c r="K27">
        <v>64.069999999999993</v>
      </c>
      <c r="L27">
        <v>28</v>
      </c>
      <c r="M27">
        <v>25.93</v>
      </c>
      <c r="N27">
        <v>45.45</v>
      </c>
      <c r="O27">
        <v>0</v>
      </c>
      <c r="P27">
        <v>63.74</v>
      </c>
      <c r="Q27">
        <v>72.67</v>
      </c>
      <c r="R27">
        <v>27.95</v>
      </c>
      <c r="S27">
        <v>67.209999999999994</v>
      </c>
      <c r="T27">
        <v>54.14</v>
      </c>
      <c r="U27">
        <v>36.79</v>
      </c>
      <c r="V27">
        <v>37.19</v>
      </c>
      <c r="W27">
        <v>37.82</v>
      </c>
      <c r="X27">
        <v>62.93</v>
      </c>
      <c r="Y27">
        <v>57.56</v>
      </c>
      <c r="Z27">
        <v>11.02</v>
      </c>
      <c r="AA27">
        <v>5.56</v>
      </c>
      <c r="AB27">
        <v>6.17</v>
      </c>
      <c r="AC27">
        <v>13.71</v>
      </c>
      <c r="AD27">
        <v>50.41</v>
      </c>
      <c r="AE27">
        <v>6.35</v>
      </c>
      <c r="AF27">
        <v>17.82</v>
      </c>
      <c r="AG27">
        <v>29.23</v>
      </c>
      <c r="AH27">
        <v>33.630000000000003</v>
      </c>
      <c r="AI27">
        <v>0</v>
      </c>
    </row>
    <row r="28" spans="2:38" x14ac:dyDescent="0.45">
      <c r="B28" t="s">
        <v>1007</v>
      </c>
      <c r="C28" t="s">
        <v>1008</v>
      </c>
      <c r="D28" t="s">
        <v>916</v>
      </c>
      <c r="E28" t="s">
        <v>1009</v>
      </c>
      <c r="F28">
        <v>13</v>
      </c>
      <c r="G28">
        <v>60.7</v>
      </c>
      <c r="H28">
        <v>10.96</v>
      </c>
      <c r="I28">
        <v>0</v>
      </c>
      <c r="J28" t="s">
        <v>1010</v>
      </c>
      <c r="K28">
        <v>76.3</v>
      </c>
      <c r="L28">
        <v>8</v>
      </c>
      <c r="M28">
        <v>7.41</v>
      </c>
      <c r="N28">
        <v>3.53</v>
      </c>
      <c r="O28">
        <v>0</v>
      </c>
      <c r="P28">
        <v>54.33</v>
      </c>
      <c r="Q28">
        <v>27.18</v>
      </c>
      <c r="R28">
        <v>49.37</v>
      </c>
      <c r="S28">
        <v>50.28</v>
      </c>
      <c r="T28">
        <v>23.24</v>
      </c>
      <c r="U28">
        <v>33.61</v>
      </c>
      <c r="V28">
        <v>46.23</v>
      </c>
      <c r="W28">
        <v>36.68</v>
      </c>
      <c r="X28">
        <v>49.32</v>
      </c>
      <c r="Y28">
        <v>40.619999999999997</v>
      </c>
      <c r="Z28">
        <v>45.67</v>
      </c>
      <c r="AA28">
        <v>16.670000000000002</v>
      </c>
      <c r="AB28">
        <v>7.08</v>
      </c>
      <c r="AC28">
        <v>21.6</v>
      </c>
      <c r="AD28">
        <v>40.83</v>
      </c>
      <c r="AE28">
        <v>7.38</v>
      </c>
      <c r="AF28">
        <v>40.65</v>
      </c>
      <c r="AG28">
        <v>32.86</v>
      </c>
      <c r="AH28">
        <v>50.44</v>
      </c>
      <c r="AI28">
        <v>0</v>
      </c>
    </row>
    <row r="29" spans="2:38" x14ac:dyDescent="0.45">
      <c r="B29" t="s">
        <v>1011</v>
      </c>
      <c r="C29" t="s">
        <v>1012</v>
      </c>
      <c r="D29" t="s">
        <v>916</v>
      </c>
      <c r="E29" t="s">
        <v>1013</v>
      </c>
      <c r="F29">
        <v>25</v>
      </c>
      <c r="G29">
        <v>59.8</v>
      </c>
      <c r="H29">
        <v>14.1</v>
      </c>
      <c r="I29">
        <v>21.65</v>
      </c>
      <c r="J29" t="s">
        <v>1014</v>
      </c>
      <c r="K29">
        <v>75.86</v>
      </c>
      <c r="L29">
        <v>72</v>
      </c>
      <c r="M29">
        <v>81.48</v>
      </c>
      <c r="N29">
        <v>13.09</v>
      </c>
      <c r="O29">
        <v>0</v>
      </c>
      <c r="P29">
        <v>58.26</v>
      </c>
      <c r="Q29">
        <v>35.47</v>
      </c>
      <c r="R29">
        <v>34.26</v>
      </c>
      <c r="S29">
        <v>45.82</v>
      </c>
      <c r="T29">
        <v>34.200000000000003</v>
      </c>
      <c r="U29">
        <v>33.58</v>
      </c>
      <c r="V29">
        <v>31.16</v>
      </c>
      <c r="W29">
        <v>37.25</v>
      </c>
      <c r="X29">
        <v>85.03</v>
      </c>
      <c r="Y29">
        <v>58.1</v>
      </c>
      <c r="Z29">
        <v>9.4499999999999993</v>
      </c>
      <c r="AA29">
        <v>27.78</v>
      </c>
      <c r="AB29">
        <v>1.22</v>
      </c>
      <c r="AC29">
        <v>10.64</v>
      </c>
      <c r="AD29">
        <v>53.88</v>
      </c>
      <c r="AE29">
        <v>20.85</v>
      </c>
      <c r="AF29">
        <v>14.35</v>
      </c>
      <c r="AG29">
        <v>15.82</v>
      </c>
      <c r="AH29">
        <v>30.97</v>
      </c>
      <c r="AI29">
        <v>100</v>
      </c>
    </row>
    <row r="30" spans="2:38" x14ac:dyDescent="0.45">
      <c r="B30" t="s">
        <v>1015</v>
      </c>
      <c r="C30" t="s">
        <v>1004</v>
      </c>
      <c r="D30" t="s">
        <v>916</v>
      </c>
      <c r="E30" t="s">
        <v>1016</v>
      </c>
      <c r="F30">
        <v>28</v>
      </c>
      <c r="G30">
        <v>59.1</v>
      </c>
      <c r="H30">
        <v>11.58</v>
      </c>
      <c r="I30">
        <v>8.24</v>
      </c>
      <c r="J30" t="s">
        <v>1017</v>
      </c>
      <c r="K30">
        <v>87.9</v>
      </c>
      <c r="L30">
        <v>28</v>
      </c>
      <c r="M30">
        <v>29.63</v>
      </c>
      <c r="N30">
        <v>17.22</v>
      </c>
      <c r="O30">
        <v>15.91</v>
      </c>
      <c r="P30">
        <v>66.680000000000007</v>
      </c>
      <c r="Q30">
        <v>30.28</v>
      </c>
      <c r="R30">
        <v>36.65</v>
      </c>
      <c r="S30">
        <v>73.41</v>
      </c>
      <c r="T30">
        <v>54.65</v>
      </c>
      <c r="U30">
        <v>43.47</v>
      </c>
      <c r="V30">
        <v>42.21</v>
      </c>
      <c r="W30">
        <v>36.68</v>
      </c>
      <c r="X30">
        <v>63.95</v>
      </c>
      <c r="Y30">
        <v>69.64</v>
      </c>
      <c r="Z30">
        <v>14.17</v>
      </c>
      <c r="AA30">
        <v>25</v>
      </c>
      <c r="AB30">
        <v>18.309999999999999</v>
      </c>
      <c r="AC30">
        <v>22.83</v>
      </c>
      <c r="AD30">
        <v>42.98</v>
      </c>
      <c r="AE30">
        <v>1.19</v>
      </c>
      <c r="AF30">
        <v>13.03</v>
      </c>
      <c r="AG30">
        <v>10.029999999999999</v>
      </c>
      <c r="AH30">
        <v>33.630000000000003</v>
      </c>
      <c r="AI30">
        <v>0</v>
      </c>
    </row>
    <row r="31" spans="2:38" x14ac:dyDescent="0.45">
      <c r="B31" t="s">
        <v>1018</v>
      </c>
      <c r="C31" t="s">
        <v>967</v>
      </c>
      <c r="D31" t="s">
        <v>1019</v>
      </c>
      <c r="E31" t="s">
        <v>1020</v>
      </c>
      <c r="F31" t="s">
        <v>916</v>
      </c>
      <c r="G31" t="s">
        <v>1021</v>
      </c>
      <c r="H31">
        <v>28</v>
      </c>
      <c r="I31">
        <v>58.9</v>
      </c>
      <c r="J31">
        <v>15.39</v>
      </c>
      <c r="K31">
        <v>27.47</v>
      </c>
      <c r="L31" t="s">
        <v>1022</v>
      </c>
      <c r="M31">
        <v>67.66</v>
      </c>
      <c r="N31">
        <v>36</v>
      </c>
      <c r="O31">
        <v>44.44</v>
      </c>
      <c r="P31">
        <v>7.44</v>
      </c>
      <c r="Q31">
        <v>3.37</v>
      </c>
      <c r="R31">
        <v>88.12</v>
      </c>
      <c r="S31">
        <v>46.28</v>
      </c>
      <c r="T31">
        <v>31.4</v>
      </c>
      <c r="U31">
        <v>79.12</v>
      </c>
      <c r="V31">
        <v>44.23</v>
      </c>
      <c r="W31">
        <v>41.34</v>
      </c>
      <c r="X31">
        <v>40.700000000000003</v>
      </c>
      <c r="Y31">
        <v>35.24</v>
      </c>
      <c r="Z31">
        <v>56.12</v>
      </c>
      <c r="AA31">
        <v>52.12</v>
      </c>
      <c r="AB31">
        <v>11.02</v>
      </c>
      <c r="AC31">
        <v>16.670000000000002</v>
      </c>
      <c r="AD31">
        <v>8.0500000000000007</v>
      </c>
      <c r="AE31">
        <v>21.75</v>
      </c>
      <c r="AF31">
        <v>49.75</v>
      </c>
      <c r="AG31">
        <v>9.0500000000000007</v>
      </c>
      <c r="AH31">
        <v>23.61</v>
      </c>
      <c r="AI31">
        <v>25.06</v>
      </c>
      <c r="AJ31">
        <v>47.79</v>
      </c>
      <c r="AK31">
        <v>0</v>
      </c>
    </row>
    <row r="32" spans="2:38" x14ac:dyDescent="0.45">
      <c r="B32" t="s">
        <v>1023</v>
      </c>
      <c r="C32" t="s">
        <v>1024</v>
      </c>
      <c r="D32">
        <v>48</v>
      </c>
      <c r="E32">
        <v>58.5</v>
      </c>
      <c r="F32">
        <v>3.51</v>
      </c>
      <c r="G32">
        <v>0</v>
      </c>
      <c r="H32" t="s">
        <v>1025</v>
      </c>
      <c r="I32">
        <v>53.59</v>
      </c>
      <c r="J32">
        <v>32</v>
      </c>
      <c r="K32">
        <v>51.85</v>
      </c>
      <c r="L32">
        <v>8.69</v>
      </c>
      <c r="M32">
        <v>0</v>
      </c>
      <c r="N32">
        <v>51.68</v>
      </c>
      <c r="O32">
        <v>24.48</v>
      </c>
      <c r="P32">
        <v>36.979999999999997</v>
      </c>
      <c r="Q32">
        <v>24.2</v>
      </c>
      <c r="R32">
        <v>35.39</v>
      </c>
      <c r="S32">
        <v>100</v>
      </c>
      <c r="T32">
        <v>100</v>
      </c>
      <c r="U32">
        <v>100</v>
      </c>
      <c r="V32">
        <v>60.88</v>
      </c>
      <c r="W32">
        <v>47.24</v>
      </c>
      <c r="X32">
        <v>2.36</v>
      </c>
      <c r="Y32">
        <v>27.78</v>
      </c>
      <c r="Z32">
        <v>10.5</v>
      </c>
      <c r="AA32">
        <v>29.64</v>
      </c>
      <c r="AB32">
        <v>58.51</v>
      </c>
      <c r="AC32">
        <v>27.41</v>
      </c>
      <c r="AD32">
        <v>19.18</v>
      </c>
      <c r="AE32">
        <v>12.93</v>
      </c>
      <c r="AF32">
        <v>43.36</v>
      </c>
      <c r="AG32">
        <v>100</v>
      </c>
    </row>
    <row r="33" spans="2:38" x14ac:dyDescent="0.45">
      <c r="B33" t="s">
        <v>1026</v>
      </c>
      <c r="C33" t="s">
        <v>939</v>
      </c>
      <c r="D33" t="s">
        <v>1027</v>
      </c>
      <c r="E33" t="s">
        <v>916</v>
      </c>
      <c r="F33" t="s">
        <v>1028</v>
      </c>
      <c r="G33">
        <v>36</v>
      </c>
      <c r="H33">
        <v>58.2</v>
      </c>
      <c r="I33">
        <v>15.64</v>
      </c>
      <c r="J33">
        <v>7.53</v>
      </c>
      <c r="K33" t="s">
        <v>1029</v>
      </c>
      <c r="L33">
        <v>46.93</v>
      </c>
      <c r="M33">
        <v>12</v>
      </c>
      <c r="N33">
        <v>22.22</v>
      </c>
      <c r="O33">
        <v>0</v>
      </c>
      <c r="P33">
        <v>0</v>
      </c>
      <c r="Q33">
        <v>29.28</v>
      </c>
      <c r="R33">
        <v>14.22</v>
      </c>
      <c r="S33">
        <v>52.58</v>
      </c>
      <c r="T33">
        <v>47.32</v>
      </c>
      <c r="U33">
        <v>57.7</v>
      </c>
      <c r="V33">
        <v>38.43</v>
      </c>
      <c r="W33">
        <v>47.74</v>
      </c>
      <c r="X33">
        <v>34.96</v>
      </c>
      <c r="Y33">
        <v>78.23</v>
      </c>
      <c r="Z33">
        <v>16.5</v>
      </c>
      <c r="AA33">
        <v>15.75</v>
      </c>
      <c r="AB33">
        <v>13.89</v>
      </c>
      <c r="AC33">
        <v>9.3699999999999992</v>
      </c>
      <c r="AD33">
        <v>23.16</v>
      </c>
      <c r="AE33">
        <v>80.17</v>
      </c>
      <c r="AF33">
        <v>28.38</v>
      </c>
      <c r="AG33">
        <v>11.16</v>
      </c>
      <c r="AH33">
        <v>5.0199999999999996</v>
      </c>
      <c r="AI33">
        <v>74.34</v>
      </c>
      <c r="AJ33">
        <v>0</v>
      </c>
    </row>
    <row r="34" spans="2:38" x14ac:dyDescent="0.45">
      <c r="B34" t="s">
        <v>1030</v>
      </c>
      <c r="C34" t="s">
        <v>1031</v>
      </c>
      <c r="D34">
        <v>33</v>
      </c>
      <c r="E34">
        <v>57.8</v>
      </c>
      <c r="F34">
        <v>5.82</v>
      </c>
      <c r="G34">
        <v>10.210000000000001</v>
      </c>
      <c r="H34" t="s">
        <v>1032</v>
      </c>
      <c r="I34">
        <v>45.22</v>
      </c>
      <c r="J34">
        <v>12</v>
      </c>
      <c r="K34">
        <v>14.81</v>
      </c>
      <c r="L34">
        <v>100</v>
      </c>
      <c r="M34">
        <v>0</v>
      </c>
      <c r="N34">
        <v>44.06</v>
      </c>
      <c r="O34">
        <v>38.51</v>
      </c>
      <c r="P34">
        <v>28.34</v>
      </c>
      <c r="Q34">
        <v>38.299999999999997</v>
      </c>
      <c r="R34">
        <v>72.88</v>
      </c>
      <c r="S34">
        <v>24.91</v>
      </c>
      <c r="T34">
        <v>31.16</v>
      </c>
      <c r="U34">
        <v>44.13</v>
      </c>
      <c r="V34">
        <v>44.56</v>
      </c>
      <c r="W34">
        <v>40.799999999999997</v>
      </c>
      <c r="X34">
        <v>3.15</v>
      </c>
      <c r="Y34">
        <v>5.56</v>
      </c>
      <c r="Z34">
        <v>1.1299999999999999</v>
      </c>
      <c r="AA34">
        <v>36.950000000000003</v>
      </c>
      <c r="AB34">
        <v>58.68</v>
      </c>
      <c r="AC34">
        <v>8.99</v>
      </c>
      <c r="AD34">
        <v>15.26</v>
      </c>
      <c r="AE34">
        <v>52.75</v>
      </c>
      <c r="AF34">
        <v>17.7</v>
      </c>
      <c r="AG34">
        <v>0</v>
      </c>
    </row>
    <row r="35" spans="2:38" x14ac:dyDescent="0.45">
      <c r="B35" t="s">
        <v>1033</v>
      </c>
      <c r="C35" t="s">
        <v>1034</v>
      </c>
      <c r="D35" t="s">
        <v>916</v>
      </c>
      <c r="E35" t="s">
        <v>1035</v>
      </c>
      <c r="F35">
        <v>31</v>
      </c>
      <c r="G35">
        <v>57.7</v>
      </c>
      <c r="H35">
        <v>12.88</v>
      </c>
      <c r="I35">
        <v>20.05</v>
      </c>
      <c r="J35" t="s">
        <v>1036</v>
      </c>
      <c r="K35">
        <v>69.42</v>
      </c>
      <c r="L35">
        <v>64</v>
      </c>
      <c r="M35">
        <v>81.48</v>
      </c>
      <c r="N35">
        <v>9.09</v>
      </c>
      <c r="O35">
        <v>0</v>
      </c>
      <c r="P35">
        <v>75.3</v>
      </c>
      <c r="Q35">
        <v>33.42</v>
      </c>
      <c r="R35">
        <v>34.270000000000003</v>
      </c>
      <c r="S35">
        <v>48.5</v>
      </c>
      <c r="T35">
        <v>41.28</v>
      </c>
      <c r="U35">
        <v>31.77</v>
      </c>
      <c r="V35">
        <v>35.68</v>
      </c>
      <c r="W35">
        <v>32.950000000000003</v>
      </c>
      <c r="X35">
        <v>54.08</v>
      </c>
      <c r="Y35">
        <v>61.61</v>
      </c>
      <c r="Z35">
        <v>45.67</v>
      </c>
      <c r="AA35">
        <v>16.670000000000002</v>
      </c>
      <c r="AB35">
        <v>5.23</v>
      </c>
      <c r="AC35">
        <v>7.36</v>
      </c>
      <c r="AD35">
        <v>40.83</v>
      </c>
      <c r="AE35">
        <v>11.18</v>
      </c>
      <c r="AF35">
        <v>10.82</v>
      </c>
      <c r="AG35">
        <v>18.989999999999998</v>
      </c>
      <c r="AH35">
        <v>46.9</v>
      </c>
      <c r="AI35">
        <v>0</v>
      </c>
    </row>
    <row r="36" spans="2:38" x14ac:dyDescent="0.45">
      <c r="B36" t="s">
        <v>1030</v>
      </c>
      <c r="C36" t="s">
        <v>1037</v>
      </c>
      <c r="D36">
        <v>36</v>
      </c>
      <c r="E36">
        <v>57.6</v>
      </c>
      <c r="F36">
        <v>2.5299999999999998</v>
      </c>
      <c r="G36">
        <v>9.1300000000000008</v>
      </c>
      <c r="H36" t="s">
        <v>1038</v>
      </c>
      <c r="I36">
        <v>59.17</v>
      </c>
      <c r="J36">
        <v>24</v>
      </c>
      <c r="K36">
        <v>25.93</v>
      </c>
      <c r="L36">
        <v>15.7</v>
      </c>
      <c r="M36">
        <v>11.43</v>
      </c>
      <c r="N36">
        <v>64.34</v>
      </c>
      <c r="O36">
        <v>39.39</v>
      </c>
      <c r="P36">
        <v>21.38</v>
      </c>
      <c r="Q36">
        <v>55.05</v>
      </c>
      <c r="R36">
        <v>60.53</v>
      </c>
      <c r="S36">
        <v>46.47</v>
      </c>
      <c r="T36">
        <v>49.75</v>
      </c>
      <c r="U36">
        <v>43.27</v>
      </c>
      <c r="V36">
        <v>37.76</v>
      </c>
      <c r="W36">
        <v>81.73</v>
      </c>
      <c r="X36">
        <v>7.87</v>
      </c>
      <c r="Y36">
        <v>11.11</v>
      </c>
      <c r="Z36">
        <v>3.38</v>
      </c>
      <c r="AA36">
        <v>20.99</v>
      </c>
      <c r="AB36">
        <v>51.9</v>
      </c>
      <c r="AC36">
        <v>13.56</v>
      </c>
      <c r="AD36">
        <v>3.78</v>
      </c>
      <c r="AE36">
        <v>58.7</v>
      </c>
      <c r="AF36">
        <v>23.89</v>
      </c>
      <c r="AG36">
        <v>0</v>
      </c>
    </row>
    <row r="37" spans="2:38" x14ac:dyDescent="0.45">
      <c r="B37" t="s">
        <v>1039</v>
      </c>
      <c r="C37" t="s">
        <v>1040</v>
      </c>
      <c r="D37" t="s">
        <v>916</v>
      </c>
      <c r="E37" t="s">
        <v>1041</v>
      </c>
      <c r="F37" t="s">
        <v>1042</v>
      </c>
      <c r="G37" t="s">
        <v>1043</v>
      </c>
      <c r="H37">
        <v>57.5</v>
      </c>
      <c r="I37">
        <v>3.3</v>
      </c>
      <c r="J37">
        <v>0</v>
      </c>
      <c r="K37" t="s">
        <v>1044</v>
      </c>
      <c r="L37">
        <v>59.26</v>
      </c>
      <c r="M37">
        <v>4</v>
      </c>
      <c r="N37">
        <v>11.11</v>
      </c>
      <c r="O37">
        <v>0</v>
      </c>
      <c r="P37">
        <v>0</v>
      </c>
      <c r="Q37">
        <v>60.65</v>
      </c>
      <c r="R37">
        <v>29.97</v>
      </c>
      <c r="S37">
        <v>51.22</v>
      </c>
      <c r="T37">
        <v>16.100000000000001</v>
      </c>
      <c r="U37">
        <v>40.15</v>
      </c>
      <c r="V37">
        <v>32.340000000000003</v>
      </c>
      <c r="W37">
        <v>55.28</v>
      </c>
      <c r="X37">
        <v>41.83</v>
      </c>
      <c r="Y37">
        <v>20.07</v>
      </c>
      <c r="Z37">
        <v>10.36</v>
      </c>
      <c r="AA37">
        <v>20.47</v>
      </c>
      <c r="AB37">
        <v>77.78</v>
      </c>
      <c r="AC37">
        <v>57.02</v>
      </c>
      <c r="AD37">
        <v>72.92</v>
      </c>
      <c r="AE37">
        <v>90.58</v>
      </c>
      <c r="AF37">
        <v>70.069999999999993</v>
      </c>
      <c r="AG37">
        <v>15.12</v>
      </c>
      <c r="AH37">
        <v>12.48</v>
      </c>
      <c r="AI37">
        <v>57.52</v>
      </c>
      <c r="AJ37">
        <v>0</v>
      </c>
    </row>
    <row r="38" spans="2:38" x14ac:dyDescent="0.45">
      <c r="B38" t="s">
        <v>1030</v>
      </c>
      <c r="C38" t="s">
        <v>1045</v>
      </c>
      <c r="D38" t="s">
        <v>924</v>
      </c>
      <c r="E38" t="s">
        <v>1046</v>
      </c>
      <c r="F38" t="s">
        <v>1047</v>
      </c>
      <c r="G38">
        <v>33</v>
      </c>
      <c r="H38">
        <v>57.3</v>
      </c>
      <c r="I38">
        <v>11.71</v>
      </c>
      <c r="J38">
        <v>22.77</v>
      </c>
      <c r="K38" t="s">
        <v>1048</v>
      </c>
      <c r="L38">
        <v>41.84</v>
      </c>
      <c r="M38">
        <v>24</v>
      </c>
      <c r="N38">
        <v>25.93</v>
      </c>
      <c r="O38">
        <v>36.28</v>
      </c>
      <c r="P38">
        <v>25.17</v>
      </c>
      <c r="Q38">
        <v>61.49</v>
      </c>
      <c r="R38">
        <v>32.42</v>
      </c>
      <c r="S38">
        <v>40.619999999999997</v>
      </c>
      <c r="T38">
        <v>61.02</v>
      </c>
      <c r="U38">
        <v>66.650000000000006</v>
      </c>
      <c r="V38">
        <v>27.44</v>
      </c>
      <c r="W38">
        <v>33.67</v>
      </c>
      <c r="X38">
        <v>34.67</v>
      </c>
      <c r="Y38">
        <v>54.42</v>
      </c>
      <c r="Z38">
        <v>43.32</v>
      </c>
      <c r="AA38">
        <v>18.11</v>
      </c>
      <c r="AB38">
        <v>13.89</v>
      </c>
      <c r="AC38">
        <v>1.33</v>
      </c>
      <c r="AD38">
        <v>6.64</v>
      </c>
      <c r="AE38">
        <v>38.18</v>
      </c>
      <c r="AF38">
        <v>13.22</v>
      </c>
      <c r="AG38">
        <v>21.78</v>
      </c>
      <c r="AH38">
        <v>62.25</v>
      </c>
      <c r="AI38">
        <v>32.74</v>
      </c>
      <c r="AJ38">
        <v>0</v>
      </c>
    </row>
    <row r="39" spans="2:38" x14ac:dyDescent="0.45">
      <c r="B39" t="s">
        <v>1049</v>
      </c>
      <c r="C39" t="s">
        <v>939</v>
      </c>
      <c r="D39" t="s">
        <v>946</v>
      </c>
      <c r="E39" t="s">
        <v>916</v>
      </c>
      <c r="F39" t="s">
        <v>1050</v>
      </c>
      <c r="G39">
        <v>30</v>
      </c>
      <c r="H39">
        <v>56.6</v>
      </c>
      <c r="I39">
        <v>3.46</v>
      </c>
      <c r="J39">
        <v>8.84</v>
      </c>
      <c r="K39" t="s">
        <v>1051</v>
      </c>
      <c r="L39">
        <v>47.98</v>
      </c>
      <c r="M39">
        <v>12</v>
      </c>
      <c r="N39">
        <v>11.11</v>
      </c>
      <c r="O39">
        <v>3.91</v>
      </c>
      <c r="P39">
        <v>9.23</v>
      </c>
      <c r="Q39">
        <v>17.829999999999998</v>
      </c>
      <c r="R39">
        <v>30.24</v>
      </c>
      <c r="S39">
        <v>38.119999999999997</v>
      </c>
      <c r="T39">
        <v>81.849999999999994</v>
      </c>
      <c r="U39">
        <v>64.69</v>
      </c>
      <c r="V39">
        <v>48.8</v>
      </c>
      <c r="W39">
        <v>42.21</v>
      </c>
      <c r="X39">
        <v>32.659999999999997</v>
      </c>
      <c r="Y39">
        <v>44.22</v>
      </c>
      <c r="Z39">
        <v>66.87</v>
      </c>
      <c r="AA39">
        <v>9.4499999999999993</v>
      </c>
      <c r="AB39">
        <v>5.56</v>
      </c>
      <c r="AC39">
        <v>10.89</v>
      </c>
      <c r="AD39">
        <v>15.39</v>
      </c>
      <c r="AE39">
        <v>40.99</v>
      </c>
      <c r="AF39">
        <v>1.3</v>
      </c>
      <c r="AG39">
        <v>13.48</v>
      </c>
      <c r="AH39">
        <v>13.42</v>
      </c>
      <c r="AI39">
        <v>45.13</v>
      </c>
      <c r="AJ39">
        <v>0</v>
      </c>
    </row>
    <row r="40" spans="2:38" x14ac:dyDescent="0.45">
      <c r="B40" t="s">
        <v>1052</v>
      </c>
      <c r="C40" t="s">
        <v>1053</v>
      </c>
      <c r="D40" t="s">
        <v>916</v>
      </c>
      <c r="E40" t="s">
        <v>1054</v>
      </c>
      <c r="F40" t="s">
        <v>1055</v>
      </c>
      <c r="G40">
        <v>56.6</v>
      </c>
      <c r="H40">
        <v>2.0099999999999998</v>
      </c>
      <c r="I40">
        <v>0</v>
      </c>
      <c r="J40" t="s">
        <v>1056</v>
      </c>
      <c r="K40">
        <v>70.28</v>
      </c>
      <c r="L40">
        <v>4</v>
      </c>
      <c r="M40">
        <v>3.7</v>
      </c>
      <c r="N40">
        <v>0</v>
      </c>
      <c r="O40">
        <v>0</v>
      </c>
      <c r="P40">
        <v>37.97</v>
      </c>
      <c r="Q40">
        <v>6.56</v>
      </c>
      <c r="R40">
        <v>63.7</v>
      </c>
      <c r="S40">
        <v>8.4499999999999993</v>
      </c>
      <c r="T40">
        <v>26.96</v>
      </c>
      <c r="U40">
        <v>39.07</v>
      </c>
      <c r="V40">
        <v>73.87</v>
      </c>
      <c r="W40">
        <v>52.72</v>
      </c>
      <c r="X40">
        <v>73.81</v>
      </c>
      <c r="Y40">
        <v>9.6300000000000008</v>
      </c>
      <c r="Z40">
        <v>6.3</v>
      </c>
      <c r="AA40">
        <v>25</v>
      </c>
      <c r="AB40">
        <v>92.25</v>
      </c>
      <c r="AC40">
        <v>100</v>
      </c>
      <c r="AD40">
        <v>89.75</v>
      </c>
      <c r="AE40">
        <v>100</v>
      </c>
      <c r="AF40">
        <v>5.85</v>
      </c>
      <c r="AG40">
        <v>4.99</v>
      </c>
      <c r="AH40">
        <v>65.489999999999995</v>
      </c>
      <c r="AI40">
        <v>0</v>
      </c>
    </row>
    <row r="41" spans="2:38" x14ac:dyDescent="0.45">
      <c r="B41" t="s">
        <v>1057</v>
      </c>
      <c r="C41" t="s">
        <v>939</v>
      </c>
      <c r="D41" t="s">
        <v>1058</v>
      </c>
      <c r="E41" t="s">
        <v>916</v>
      </c>
      <c r="F41" t="s">
        <v>1059</v>
      </c>
      <c r="G41">
        <v>31</v>
      </c>
      <c r="H41">
        <v>55.9</v>
      </c>
      <c r="I41">
        <v>4.55</v>
      </c>
      <c r="J41">
        <v>11.21</v>
      </c>
      <c r="K41" t="s">
        <v>1060</v>
      </c>
      <c r="L41">
        <v>72.239999999999995</v>
      </c>
      <c r="M41">
        <v>32</v>
      </c>
      <c r="N41">
        <v>44.44</v>
      </c>
      <c r="O41">
        <v>59.49</v>
      </c>
      <c r="P41">
        <v>12.45</v>
      </c>
      <c r="Q41">
        <v>59.97</v>
      </c>
      <c r="R41">
        <v>32.18</v>
      </c>
      <c r="S41">
        <v>23.44</v>
      </c>
      <c r="T41">
        <v>32.380000000000003</v>
      </c>
      <c r="U41">
        <v>53.68</v>
      </c>
      <c r="V41">
        <v>36.590000000000003</v>
      </c>
      <c r="W41">
        <v>39.200000000000003</v>
      </c>
      <c r="X41">
        <v>34.380000000000003</v>
      </c>
      <c r="Y41">
        <v>50</v>
      </c>
      <c r="Z41">
        <v>82.02</v>
      </c>
      <c r="AA41">
        <v>5.51</v>
      </c>
      <c r="AB41">
        <v>5.56</v>
      </c>
      <c r="AC41">
        <v>2.0699999999999998</v>
      </c>
      <c r="AD41">
        <v>11.55</v>
      </c>
      <c r="AE41">
        <v>36.86</v>
      </c>
      <c r="AF41">
        <v>6.81</v>
      </c>
      <c r="AG41">
        <v>10.98</v>
      </c>
      <c r="AH41">
        <v>62.96</v>
      </c>
      <c r="AI41">
        <v>20.350000000000001</v>
      </c>
      <c r="AJ41">
        <v>0</v>
      </c>
    </row>
    <row r="42" spans="2:38" x14ac:dyDescent="0.45">
      <c r="B42" t="s">
        <v>1061</v>
      </c>
      <c r="C42" t="s">
        <v>1062</v>
      </c>
      <c r="D42" t="s">
        <v>1063</v>
      </c>
      <c r="E42" t="s">
        <v>916</v>
      </c>
      <c r="F42" t="s">
        <v>1064</v>
      </c>
      <c r="G42">
        <v>33</v>
      </c>
      <c r="H42">
        <v>55.1</v>
      </c>
      <c r="I42">
        <v>11</v>
      </c>
      <c r="J42">
        <v>18.48</v>
      </c>
      <c r="K42" t="s">
        <v>1065</v>
      </c>
      <c r="L42">
        <v>76.02</v>
      </c>
      <c r="M42">
        <v>60</v>
      </c>
      <c r="N42">
        <v>81.48</v>
      </c>
      <c r="O42">
        <v>10.33</v>
      </c>
      <c r="P42">
        <v>7.3</v>
      </c>
      <c r="Q42">
        <v>54.98</v>
      </c>
      <c r="R42">
        <v>31.75</v>
      </c>
      <c r="S42">
        <v>29.27</v>
      </c>
      <c r="T42">
        <v>60.41</v>
      </c>
      <c r="U42">
        <v>30.65</v>
      </c>
      <c r="V42">
        <v>35.049999999999997</v>
      </c>
      <c r="W42">
        <v>31.16</v>
      </c>
      <c r="X42">
        <v>37.82</v>
      </c>
      <c r="Y42">
        <v>72.45</v>
      </c>
      <c r="Z42">
        <v>54.75</v>
      </c>
      <c r="AA42">
        <v>16.54</v>
      </c>
      <c r="AB42">
        <v>19.440000000000001</v>
      </c>
      <c r="AC42">
        <v>3.18</v>
      </c>
      <c r="AD42">
        <v>31.43</v>
      </c>
      <c r="AE42">
        <v>49.42</v>
      </c>
      <c r="AF42">
        <v>14.55</v>
      </c>
      <c r="AG42">
        <v>7.96</v>
      </c>
      <c r="AH42">
        <v>9.8800000000000008</v>
      </c>
      <c r="AI42">
        <v>48.67</v>
      </c>
      <c r="AJ42">
        <v>0</v>
      </c>
    </row>
    <row r="43" spans="2:38" x14ac:dyDescent="0.45">
      <c r="B43" t="s">
        <v>1066</v>
      </c>
      <c r="C43" t="s">
        <v>1067</v>
      </c>
      <c r="D43" t="s">
        <v>916</v>
      </c>
      <c r="E43" t="s">
        <v>1068</v>
      </c>
      <c r="F43" t="s">
        <v>1069</v>
      </c>
      <c r="G43">
        <v>54.8</v>
      </c>
      <c r="H43">
        <v>5.48</v>
      </c>
      <c r="I43">
        <v>0</v>
      </c>
      <c r="J43" t="s">
        <v>1070</v>
      </c>
      <c r="K43">
        <v>23.39</v>
      </c>
      <c r="L43">
        <v>4</v>
      </c>
      <c r="M43">
        <v>3.7</v>
      </c>
      <c r="N43">
        <v>0</v>
      </c>
      <c r="O43">
        <v>0</v>
      </c>
      <c r="P43">
        <v>11.34</v>
      </c>
      <c r="Q43">
        <v>29.06</v>
      </c>
      <c r="R43">
        <v>100</v>
      </c>
      <c r="S43">
        <v>24.88</v>
      </c>
      <c r="T43">
        <v>45.89</v>
      </c>
      <c r="U43">
        <v>18.45</v>
      </c>
      <c r="V43">
        <v>33.67</v>
      </c>
      <c r="W43">
        <v>30.09</v>
      </c>
      <c r="X43">
        <v>31.63</v>
      </c>
      <c r="Y43">
        <v>17.850000000000001</v>
      </c>
      <c r="Z43">
        <v>11.02</v>
      </c>
      <c r="AA43">
        <v>41.67</v>
      </c>
      <c r="AB43">
        <v>37</v>
      </c>
      <c r="AC43">
        <v>85.28</v>
      </c>
      <c r="AD43">
        <v>40.5</v>
      </c>
      <c r="AE43">
        <v>56.58</v>
      </c>
      <c r="AF43">
        <v>16.54</v>
      </c>
      <c r="AG43">
        <v>9.1199999999999992</v>
      </c>
      <c r="AH43">
        <v>57.52</v>
      </c>
      <c r="AI43">
        <v>0</v>
      </c>
    </row>
    <row r="44" spans="2:38" x14ac:dyDescent="0.45">
      <c r="B44" t="s">
        <v>1071</v>
      </c>
      <c r="C44" t="s">
        <v>916</v>
      </c>
      <c r="D44" t="s">
        <v>1072</v>
      </c>
      <c r="E44">
        <v>39</v>
      </c>
      <c r="F44">
        <v>54.1</v>
      </c>
      <c r="G44">
        <v>2.95</v>
      </c>
      <c r="H44">
        <v>9.35</v>
      </c>
      <c r="I44" t="s">
        <v>1073</v>
      </c>
      <c r="J44">
        <v>65.17</v>
      </c>
      <c r="K44">
        <v>28</v>
      </c>
      <c r="L44">
        <v>40.74</v>
      </c>
      <c r="M44">
        <v>8.09</v>
      </c>
      <c r="N44">
        <v>12.95</v>
      </c>
      <c r="O44">
        <v>35.65</v>
      </c>
      <c r="P44">
        <v>17.82</v>
      </c>
      <c r="Q44">
        <v>32.15</v>
      </c>
      <c r="R44">
        <v>38.44</v>
      </c>
      <c r="S44">
        <v>25.21</v>
      </c>
      <c r="T44">
        <v>87.63</v>
      </c>
      <c r="U44">
        <v>74.37</v>
      </c>
      <c r="V44">
        <v>54.15</v>
      </c>
      <c r="W44">
        <v>81.97</v>
      </c>
      <c r="X44">
        <v>55.22</v>
      </c>
      <c r="Y44">
        <v>4.72</v>
      </c>
      <c r="Z44">
        <v>0</v>
      </c>
      <c r="AA44">
        <v>0</v>
      </c>
      <c r="AB44">
        <v>17.32</v>
      </c>
      <c r="AC44">
        <v>59.17</v>
      </c>
      <c r="AD44">
        <v>17.39</v>
      </c>
      <c r="AE44">
        <v>15.03</v>
      </c>
      <c r="AF44">
        <v>24.39</v>
      </c>
      <c r="AG44">
        <v>8.85</v>
      </c>
      <c r="AH44">
        <v>0</v>
      </c>
    </row>
    <row r="45" spans="2:38" x14ac:dyDescent="0.45">
      <c r="B45" t="s">
        <v>1071</v>
      </c>
      <c r="C45" t="s">
        <v>1074</v>
      </c>
      <c r="D45" t="s">
        <v>1075</v>
      </c>
      <c r="E45" t="s">
        <v>1076</v>
      </c>
      <c r="F45" t="s">
        <v>916</v>
      </c>
      <c r="G45" t="s">
        <v>1077</v>
      </c>
      <c r="H45">
        <v>39</v>
      </c>
      <c r="I45">
        <v>54</v>
      </c>
      <c r="J45">
        <v>6.74</v>
      </c>
      <c r="K45">
        <v>0</v>
      </c>
      <c r="L45" t="s">
        <v>1078</v>
      </c>
      <c r="M45">
        <v>81.41</v>
      </c>
      <c r="N45">
        <v>40</v>
      </c>
      <c r="O45">
        <v>51.85</v>
      </c>
      <c r="P45">
        <v>8.31</v>
      </c>
      <c r="Q45">
        <v>18.149999999999999</v>
      </c>
      <c r="R45">
        <v>45.56</v>
      </c>
      <c r="S45">
        <v>40.19</v>
      </c>
      <c r="T45">
        <v>36.06</v>
      </c>
      <c r="U45">
        <v>42.78</v>
      </c>
      <c r="V45">
        <v>22.83</v>
      </c>
      <c r="W45">
        <v>36.049999999999997</v>
      </c>
      <c r="X45">
        <v>46.23</v>
      </c>
      <c r="Y45">
        <v>42.98</v>
      </c>
      <c r="Z45">
        <v>56.12</v>
      </c>
      <c r="AA45">
        <v>53.08</v>
      </c>
      <c r="AB45">
        <v>0</v>
      </c>
      <c r="AC45">
        <v>8.33</v>
      </c>
      <c r="AD45">
        <v>1.1499999999999999</v>
      </c>
      <c r="AE45">
        <v>7.92</v>
      </c>
      <c r="AF45">
        <v>55.7</v>
      </c>
      <c r="AG45">
        <v>15.95</v>
      </c>
      <c r="AH45">
        <v>3.13</v>
      </c>
      <c r="AI45">
        <v>3.97</v>
      </c>
      <c r="AJ45">
        <v>27.43</v>
      </c>
      <c r="AK45">
        <v>0</v>
      </c>
    </row>
    <row r="46" spans="2:38" x14ac:dyDescent="0.45">
      <c r="B46" t="s">
        <v>1079</v>
      </c>
      <c r="C46" t="s">
        <v>1080</v>
      </c>
      <c r="D46" t="s">
        <v>1081</v>
      </c>
      <c r="E46" t="s">
        <v>1082</v>
      </c>
      <c r="F46" t="s">
        <v>1083</v>
      </c>
      <c r="G46" t="s">
        <v>916</v>
      </c>
      <c r="H46" t="s">
        <v>1084</v>
      </c>
      <c r="I46" t="s">
        <v>1085</v>
      </c>
      <c r="J46">
        <v>53.6</v>
      </c>
      <c r="K46">
        <v>1.19</v>
      </c>
      <c r="L46">
        <v>0</v>
      </c>
      <c r="M46" t="s">
        <v>1086</v>
      </c>
      <c r="N46">
        <v>9</v>
      </c>
      <c r="O46">
        <v>0</v>
      </c>
      <c r="P46">
        <v>11.11</v>
      </c>
      <c r="Q46">
        <v>0</v>
      </c>
      <c r="R46">
        <v>0</v>
      </c>
      <c r="S46">
        <v>30.66</v>
      </c>
      <c r="T46">
        <v>61.26</v>
      </c>
      <c r="U46">
        <v>35.17</v>
      </c>
      <c r="V46">
        <v>5.19</v>
      </c>
      <c r="W46">
        <v>71.010000000000005</v>
      </c>
      <c r="X46">
        <v>41.94</v>
      </c>
      <c r="Y46">
        <v>73.37</v>
      </c>
      <c r="Z46">
        <v>47.28</v>
      </c>
      <c r="AA46">
        <v>99.32</v>
      </c>
      <c r="AB46">
        <v>8.2200000000000006</v>
      </c>
      <c r="AC46">
        <v>1.57</v>
      </c>
      <c r="AD46">
        <v>36.11</v>
      </c>
      <c r="AE46">
        <v>29.81</v>
      </c>
      <c r="AF46">
        <v>42.41</v>
      </c>
      <c r="AG46">
        <v>100</v>
      </c>
      <c r="AH46">
        <v>38.1</v>
      </c>
      <c r="AI46">
        <v>8.8800000000000008</v>
      </c>
      <c r="AJ46">
        <v>2.04</v>
      </c>
      <c r="AK46">
        <v>43.36</v>
      </c>
      <c r="AL46">
        <v>0</v>
      </c>
    </row>
    <row r="47" spans="2:38" x14ac:dyDescent="0.45">
      <c r="B47" t="s">
        <v>1087</v>
      </c>
      <c r="C47" t="s">
        <v>1008</v>
      </c>
      <c r="D47" t="s">
        <v>989</v>
      </c>
      <c r="E47" t="s">
        <v>1088</v>
      </c>
      <c r="F47">
        <v>44</v>
      </c>
      <c r="G47">
        <v>52.9</v>
      </c>
      <c r="H47">
        <v>9.41</v>
      </c>
      <c r="I47">
        <v>0</v>
      </c>
      <c r="J47" t="s">
        <v>1089</v>
      </c>
      <c r="K47">
        <v>64.09</v>
      </c>
      <c r="L47">
        <v>8</v>
      </c>
      <c r="M47">
        <v>11.11</v>
      </c>
      <c r="N47">
        <v>0.5</v>
      </c>
      <c r="O47">
        <v>0</v>
      </c>
      <c r="P47">
        <v>61.47</v>
      </c>
      <c r="Q47">
        <v>34.85</v>
      </c>
      <c r="R47">
        <v>41.03</v>
      </c>
      <c r="S47">
        <v>40.479999999999997</v>
      </c>
      <c r="T47">
        <v>22.67</v>
      </c>
      <c r="U47">
        <v>20.38</v>
      </c>
      <c r="V47">
        <v>31.66</v>
      </c>
      <c r="W47">
        <v>34.96</v>
      </c>
      <c r="X47">
        <v>42.52</v>
      </c>
      <c r="Y47">
        <v>37.92</v>
      </c>
      <c r="Z47">
        <v>28.35</v>
      </c>
      <c r="AA47">
        <v>19.440000000000001</v>
      </c>
      <c r="AB47">
        <v>3.25</v>
      </c>
      <c r="AC47">
        <v>12.93</v>
      </c>
      <c r="AD47">
        <v>37.69</v>
      </c>
      <c r="AE47">
        <v>4.9000000000000004</v>
      </c>
      <c r="AF47">
        <v>21.03</v>
      </c>
      <c r="AG47">
        <v>46.12</v>
      </c>
      <c r="AH47">
        <v>31.86</v>
      </c>
      <c r="AI47">
        <v>0</v>
      </c>
    </row>
    <row r="48" spans="2:38" x14ac:dyDescent="0.45">
      <c r="B48" t="s">
        <v>1090</v>
      </c>
      <c r="C48" t="s">
        <v>1080</v>
      </c>
      <c r="D48" t="s">
        <v>1091</v>
      </c>
      <c r="E48" t="s">
        <v>1092</v>
      </c>
      <c r="F48" t="s">
        <v>916</v>
      </c>
      <c r="G48" t="s">
        <v>1093</v>
      </c>
      <c r="H48" t="s">
        <v>1069</v>
      </c>
      <c r="I48">
        <v>52.8</v>
      </c>
      <c r="J48">
        <v>5.94</v>
      </c>
      <c r="K48">
        <v>0</v>
      </c>
      <c r="L48" t="s">
        <v>1094</v>
      </c>
      <c r="M48">
        <v>19.41</v>
      </c>
      <c r="N48">
        <v>4</v>
      </c>
      <c r="O48">
        <v>11.11</v>
      </c>
      <c r="P48">
        <v>3.27</v>
      </c>
      <c r="Q48">
        <v>0</v>
      </c>
      <c r="R48">
        <v>7.18</v>
      </c>
      <c r="S48">
        <v>35.520000000000003</v>
      </c>
      <c r="T48">
        <v>62.78</v>
      </c>
      <c r="U48">
        <v>52.72</v>
      </c>
      <c r="V48">
        <v>100</v>
      </c>
      <c r="W48">
        <v>28.37</v>
      </c>
      <c r="X48">
        <v>40.700000000000003</v>
      </c>
      <c r="Y48">
        <v>40.11</v>
      </c>
      <c r="Z48">
        <v>41.16</v>
      </c>
      <c r="AA48">
        <v>9.23</v>
      </c>
      <c r="AB48">
        <v>0</v>
      </c>
      <c r="AC48">
        <v>16.670000000000002</v>
      </c>
      <c r="AD48">
        <v>30.38</v>
      </c>
      <c r="AE48">
        <v>65.45</v>
      </c>
      <c r="AF48">
        <v>42.15</v>
      </c>
      <c r="AG48">
        <v>44.48</v>
      </c>
      <c r="AH48">
        <v>6.78</v>
      </c>
      <c r="AI48">
        <v>3.36</v>
      </c>
      <c r="AJ48">
        <v>61.95</v>
      </c>
      <c r="AK48">
        <v>0</v>
      </c>
    </row>
    <row r="49" spans="2:39" x14ac:dyDescent="0.45">
      <c r="B49" t="s">
        <v>1095</v>
      </c>
      <c r="C49" t="s">
        <v>1008</v>
      </c>
      <c r="D49" t="s">
        <v>916</v>
      </c>
      <c r="E49" t="s">
        <v>1096</v>
      </c>
      <c r="F49">
        <v>48</v>
      </c>
      <c r="G49">
        <v>52.3</v>
      </c>
      <c r="H49">
        <v>9.49</v>
      </c>
      <c r="I49">
        <v>0</v>
      </c>
      <c r="J49" t="s">
        <v>1097</v>
      </c>
      <c r="K49">
        <v>45.32</v>
      </c>
      <c r="L49">
        <v>12</v>
      </c>
      <c r="M49">
        <v>14.81</v>
      </c>
      <c r="N49">
        <v>0.32</v>
      </c>
      <c r="O49">
        <v>0</v>
      </c>
      <c r="P49">
        <v>57.6</v>
      </c>
      <c r="Q49">
        <v>14.58</v>
      </c>
      <c r="R49">
        <v>31.78</v>
      </c>
      <c r="S49">
        <v>47.72</v>
      </c>
      <c r="T49">
        <v>15.07</v>
      </c>
      <c r="U49">
        <v>25.2</v>
      </c>
      <c r="V49">
        <v>37.19</v>
      </c>
      <c r="W49">
        <v>35.24</v>
      </c>
      <c r="X49">
        <v>45.92</v>
      </c>
      <c r="Y49">
        <v>34.44</v>
      </c>
      <c r="Z49">
        <v>45.67</v>
      </c>
      <c r="AA49">
        <v>19.440000000000001</v>
      </c>
      <c r="AB49">
        <v>3.83</v>
      </c>
      <c r="AC49">
        <v>17.989999999999998</v>
      </c>
      <c r="AD49">
        <v>34.21</v>
      </c>
      <c r="AE49">
        <v>8.48</v>
      </c>
      <c r="AF49">
        <v>44.91</v>
      </c>
      <c r="AG49">
        <v>68.52</v>
      </c>
      <c r="AH49">
        <v>32.74</v>
      </c>
      <c r="AI49">
        <v>0</v>
      </c>
    </row>
    <row r="50" spans="2:39" x14ac:dyDescent="0.45">
      <c r="B50" t="s">
        <v>1095</v>
      </c>
      <c r="C50" t="s">
        <v>1098</v>
      </c>
      <c r="D50">
        <v>42</v>
      </c>
      <c r="E50">
        <v>52</v>
      </c>
      <c r="F50">
        <v>3.14</v>
      </c>
      <c r="G50">
        <v>14.1</v>
      </c>
      <c r="H50" t="s">
        <v>1099</v>
      </c>
      <c r="I50">
        <v>54.08</v>
      </c>
      <c r="J50">
        <v>28</v>
      </c>
      <c r="K50">
        <v>62.96</v>
      </c>
      <c r="L50">
        <v>3.21</v>
      </c>
      <c r="M50">
        <v>0</v>
      </c>
      <c r="N50">
        <v>50.99</v>
      </c>
      <c r="O50">
        <v>18.38</v>
      </c>
      <c r="P50">
        <v>23.8</v>
      </c>
      <c r="Q50">
        <v>14.42</v>
      </c>
      <c r="R50">
        <v>49.85</v>
      </c>
      <c r="S50">
        <v>86.29</v>
      </c>
      <c r="T50">
        <v>60.8</v>
      </c>
      <c r="U50">
        <v>39.26</v>
      </c>
      <c r="V50">
        <v>64.290000000000006</v>
      </c>
      <c r="W50">
        <v>63.24</v>
      </c>
      <c r="X50">
        <v>0</v>
      </c>
      <c r="Y50">
        <v>2.78</v>
      </c>
      <c r="Z50">
        <v>0.31</v>
      </c>
      <c r="AA50">
        <v>3.36</v>
      </c>
      <c r="AB50">
        <v>68.599999999999994</v>
      </c>
      <c r="AC50">
        <v>18.55</v>
      </c>
      <c r="AD50">
        <v>11.02</v>
      </c>
      <c r="AE50">
        <v>23.13</v>
      </c>
      <c r="AF50">
        <v>10.62</v>
      </c>
      <c r="AG50">
        <v>0</v>
      </c>
    </row>
    <row r="51" spans="2:39" x14ac:dyDescent="0.45">
      <c r="B51" t="s">
        <v>1095</v>
      </c>
      <c r="C51" t="s">
        <v>1100</v>
      </c>
      <c r="D51" t="s">
        <v>924</v>
      </c>
      <c r="E51" t="s">
        <v>1101</v>
      </c>
      <c r="F51" t="s">
        <v>1102</v>
      </c>
      <c r="G51" t="s">
        <v>916</v>
      </c>
      <c r="H51" t="s">
        <v>1103</v>
      </c>
      <c r="I51">
        <v>36</v>
      </c>
      <c r="J51">
        <v>51.9</v>
      </c>
      <c r="K51">
        <v>7.48</v>
      </c>
      <c r="L51">
        <v>8.14</v>
      </c>
      <c r="M51" t="s">
        <v>1104</v>
      </c>
      <c r="N51">
        <v>82.91</v>
      </c>
      <c r="O51">
        <v>24</v>
      </c>
      <c r="P51">
        <v>29.63</v>
      </c>
      <c r="Q51">
        <v>15.79</v>
      </c>
      <c r="R51">
        <v>18.350000000000001</v>
      </c>
      <c r="S51">
        <v>69.75</v>
      </c>
      <c r="T51">
        <v>22.96</v>
      </c>
      <c r="U51">
        <v>26.77</v>
      </c>
      <c r="V51">
        <v>68.290000000000006</v>
      </c>
      <c r="W51">
        <v>50.19</v>
      </c>
      <c r="X51">
        <v>37.83</v>
      </c>
      <c r="Y51">
        <v>40.200000000000003</v>
      </c>
      <c r="Z51">
        <v>34.96</v>
      </c>
      <c r="AA51">
        <v>73.47</v>
      </c>
      <c r="AB51">
        <v>64.25</v>
      </c>
      <c r="AC51">
        <v>0</v>
      </c>
      <c r="AD51">
        <v>11.11</v>
      </c>
      <c r="AE51">
        <v>0.94</v>
      </c>
      <c r="AF51">
        <v>5.05</v>
      </c>
      <c r="AG51">
        <v>43.64</v>
      </c>
      <c r="AH51">
        <v>8.61</v>
      </c>
      <c r="AI51">
        <v>10.19</v>
      </c>
      <c r="AJ51">
        <v>17.41</v>
      </c>
      <c r="AK51">
        <v>17.7</v>
      </c>
      <c r="AL51">
        <v>0</v>
      </c>
    </row>
    <row r="52" spans="2:39" x14ac:dyDescent="0.45">
      <c r="B52" t="s">
        <v>1105</v>
      </c>
      <c r="C52" t="s">
        <v>1080</v>
      </c>
      <c r="D52" t="s">
        <v>1106</v>
      </c>
      <c r="E52" t="s">
        <v>924</v>
      </c>
      <c r="F52" t="s">
        <v>1107</v>
      </c>
      <c r="G52" t="s">
        <v>1108</v>
      </c>
      <c r="H52" t="s">
        <v>916</v>
      </c>
      <c r="I52" t="s">
        <v>1109</v>
      </c>
      <c r="J52">
        <v>45</v>
      </c>
      <c r="K52">
        <v>51.8</v>
      </c>
      <c r="L52">
        <v>8.3000000000000007</v>
      </c>
      <c r="M52">
        <v>0</v>
      </c>
      <c r="N52" t="s">
        <v>1110</v>
      </c>
      <c r="O52">
        <v>32.64</v>
      </c>
      <c r="P52">
        <v>24</v>
      </c>
      <c r="Q52">
        <v>25.93</v>
      </c>
      <c r="R52">
        <v>5.22</v>
      </c>
      <c r="S52">
        <v>0</v>
      </c>
      <c r="T52">
        <v>23.6</v>
      </c>
      <c r="U52">
        <v>43.44</v>
      </c>
      <c r="V52">
        <v>17.66</v>
      </c>
      <c r="W52">
        <v>29.05</v>
      </c>
      <c r="X52">
        <v>66.87</v>
      </c>
      <c r="Y52">
        <v>20.3</v>
      </c>
      <c r="Z52">
        <v>23.12</v>
      </c>
      <c r="AA52">
        <v>36.1</v>
      </c>
      <c r="AB52">
        <v>51.36</v>
      </c>
      <c r="AC52">
        <v>84.58</v>
      </c>
      <c r="AD52">
        <v>3.15</v>
      </c>
      <c r="AE52">
        <v>0</v>
      </c>
      <c r="AF52">
        <v>0</v>
      </c>
      <c r="AG52">
        <v>2.31</v>
      </c>
      <c r="AH52">
        <v>31.57</v>
      </c>
      <c r="AI52">
        <v>3.97</v>
      </c>
      <c r="AJ52">
        <v>15.8</v>
      </c>
      <c r="AK52">
        <v>11.64</v>
      </c>
      <c r="AL52">
        <v>5.31</v>
      </c>
      <c r="AM52">
        <v>0</v>
      </c>
    </row>
    <row r="53" spans="2:39" x14ac:dyDescent="0.45">
      <c r="B53" t="s">
        <v>1111</v>
      </c>
      <c r="C53" t="s">
        <v>939</v>
      </c>
      <c r="D53" t="s">
        <v>1112</v>
      </c>
      <c r="E53" t="s">
        <v>1113</v>
      </c>
      <c r="F53" t="s">
        <v>1114</v>
      </c>
      <c r="G53" t="s">
        <v>1115</v>
      </c>
      <c r="H53">
        <v>39</v>
      </c>
      <c r="I53">
        <v>51.8</v>
      </c>
      <c r="J53">
        <v>10.5</v>
      </c>
      <c r="K53">
        <v>0</v>
      </c>
      <c r="L53" t="s">
        <v>1116</v>
      </c>
      <c r="M53">
        <v>75.64</v>
      </c>
      <c r="N53">
        <v>44</v>
      </c>
      <c r="O53">
        <v>40.74</v>
      </c>
      <c r="P53">
        <v>0</v>
      </c>
      <c r="Q53">
        <v>0</v>
      </c>
      <c r="R53">
        <v>41.29</v>
      </c>
      <c r="S53">
        <v>37.200000000000003</v>
      </c>
      <c r="T53">
        <v>32.92</v>
      </c>
      <c r="U53">
        <v>40.44</v>
      </c>
      <c r="V53">
        <v>18.04</v>
      </c>
      <c r="W53">
        <v>25.51</v>
      </c>
      <c r="X53">
        <v>37.69</v>
      </c>
      <c r="Y53">
        <v>42.69</v>
      </c>
      <c r="Z53">
        <v>51.36</v>
      </c>
      <c r="AA53">
        <v>65.540000000000006</v>
      </c>
      <c r="AB53">
        <v>1.57</v>
      </c>
      <c r="AC53">
        <v>25</v>
      </c>
      <c r="AD53">
        <v>3.25</v>
      </c>
      <c r="AE53">
        <v>29.25</v>
      </c>
      <c r="AF53">
        <v>38.18</v>
      </c>
      <c r="AG53">
        <v>32.700000000000003</v>
      </c>
      <c r="AH53">
        <v>14.91</v>
      </c>
      <c r="AI53">
        <v>20.84</v>
      </c>
      <c r="AJ53">
        <v>26.55</v>
      </c>
      <c r="AK53">
        <v>0</v>
      </c>
    </row>
    <row r="54" spans="2:39" x14ac:dyDescent="0.45">
      <c r="B54" t="s">
        <v>1117</v>
      </c>
      <c r="C54" t="s">
        <v>1118</v>
      </c>
      <c r="D54" t="s">
        <v>1119</v>
      </c>
      <c r="E54" t="s">
        <v>1120</v>
      </c>
      <c r="F54" t="s">
        <v>1121</v>
      </c>
      <c r="G54" t="s">
        <v>1043</v>
      </c>
      <c r="H54" t="s">
        <v>1055</v>
      </c>
      <c r="I54">
        <v>2.46</v>
      </c>
      <c r="J54">
        <v>0</v>
      </c>
      <c r="K54" t="s">
        <v>1122</v>
      </c>
      <c r="L54">
        <v>43.06</v>
      </c>
      <c r="M54">
        <v>0</v>
      </c>
      <c r="N54">
        <v>11.11</v>
      </c>
      <c r="O54">
        <v>0</v>
      </c>
      <c r="P54">
        <v>0</v>
      </c>
      <c r="Q54">
        <v>18.100000000000001</v>
      </c>
      <c r="R54">
        <v>19.46</v>
      </c>
      <c r="S54">
        <v>32.79</v>
      </c>
      <c r="T54">
        <v>5.93</v>
      </c>
      <c r="U54">
        <v>26.52</v>
      </c>
      <c r="V54">
        <v>23.59</v>
      </c>
      <c r="W54">
        <v>33.17</v>
      </c>
      <c r="X54">
        <v>24.36</v>
      </c>
      <c r="Y54">
        <v>51.36</v>
      </c>
      <c r="Z54">
        <v>8.52</v>
      </c>
      <c r="AA54">
        <v>9.4499999999999993</v>
      </c>
      <c r="AB54">
        <v>33.33</v>
      </c>
      <c r="AC54">
        <v>100</v>
      </c>
      <c r="AD54">
        <v>100</v>
      </c>
      <c r="AE54">
        <v>38.840000000000003</v>
      </c>
      <c r="AF54">
        <v>87.34</v>
      </c>
      <c r="AG54">
        <v>23.77</v>
      </c>
      <c r="AH54">
        <v>6.88</v>
      </c>
      <c r="AI54">
        <v>96.46</v>
      </c>
      <c r="AJ54">
        <v>0</v>
      </c>
    </row>
    <row r="55" spans="2:39" x14ac:dyDescent="0.45">
      <c r="B55" t="s">
        <v>1123</v>
      </c>
      <c r="C55" t="s">
        <v>924</v>
      </c>
      <c r="D55" t="s">
        <v>1124</v>
      </c>
      <c r="E55" t="s">
        <v>1125</v>
      </c>
      <c r="F55" t="s">
        <v>916</v>
      </c>
      <c r="G55" t="s">
        <v>1126</v>
      </c>
      <c r="H55" t="s">
        <v>1069</v>
      </c>
      <c r="I55" t="s">
        <v>1055</v>
      </c>
      <c r="J55">
        <v>1.57</v>
      </c>
      <c r="K55">
        <v>0</v>
      </c>
      <c r="L55" t="s">
        <v>1127</v>
      </c>
      <c r="M55">
        <v>31.42</v>
      </c>
      <c r="N55">
        <v>4</v>
      </c>
      <c r="O55">
        <v>3.7</v>
      </c>
      <c r="P55">
        <v>11.56</v>
      </c>
      <c r="Q55">
        <v>0</v>
      </c>
      <c r="R55">
        <v>8.33</v>
      </c>
      <c r="S55">
        <v>56.76</v>
      </c>
      <c r="T55">
        <v>26.24</v>
      </c>
      <c r="U55">
        <v>56.32</v>
      </c>
      <c r="V55">
        <v>82.52</v>
      </c>
      <c r="W55">
        <v>33.75</v>
      </c>
      <c r="X55">
        <v>34.67</v>
      </c>
      <c r="Y55">
        <v>34.96</v>
      </c>
      <c r="Z55">
        <v>43.88</v>
      </c>
      <c r="AA55">
        <v>38.08</v>
      </c>
      <c r="AB55">
        <v>0</v>
      </c>
      <c r="AC55">
        <v>0</v>
      </c>
      <c r="AD55">
        <v>0</v>
      </c>
      <c r="AE55">
        <v>0.74</v>
      </c>
      <c r="AF55">
        <v>69.09</v>
      </c>
      <c r="AG55">
        <v>14.83</v>
      </c>
      <c r="AH55">
        <v>30.18</v>
      </c>
      <c r="AI55">
        <v>35.04</v>
      </c>
      <c r="AJ55">
        <v>1.77</v>
      </c>
      <c r="AK55">
        <v>0</v>
      </c>
    </row>
    <row r="56" spans="2:39" x14ac:dyDescent="0.45">
      <c r="B56" t="s">
        <v>1128</v>
      </c>
      <c r="C56" t="s">
        <v>1129</v>
      </c>
      <c r="D56" t="s">
        <v>916</v>
      </c>
      <c r="E56" t="s">
        <v>1130</v>
      </c>
      <c r="F56" t="s">
        <v>1069</v>
      </c>
      <c r="G56" t="s">
        <v>1055</v>
      </c>
      <c r="H56">
        <v>5.16</v>
      </c>
      <c r="I56">
        <v>0</v>
      </c>
      <c r="J56" t="s">
        <v>1131</v>
      </c>
      <c r="K56">
        <v>28.83</v>
      </c>
      <c r="L56">
        <v>0</v>
      </c>
      <c r="M56">
        <v>3.7</v>
      </c>
      <c r="N56">
        <v>0</v>
      </c>
      <c r="O56">
        <v>0</v>
      </c>
      <c r="P56">
        <v>3.81</v>
      </c>
      <c r="Q56">
        <v>16.670000000000002</v>
      </c>
      <c r="R56">
        <v>42.27</v>
      </c>
      <c r="S56">
        <v>0</v>
      </c>
      <c r="T56">
        <v>27.58</v>
      </c>
      <c r="U56">
        <v>16.170000000000002</v>
      </c>
      <c r="V56">
        <v>32.159999999999997</v>
      </c>
      <c r="W56">
        <v>25.21</v>
      </c>
      <c r="X56">
        <v>67.010000000000005</v>
      </c>
      <c r="Y56">
        <v>13.17</v>
      </c>
      <c r="Z56">
        <v>1.57</v>
      </c>
      <c r="AA56">
        <v>52.8</v>
      </c>
      <c r="AB56">
        <v>37.9</v>
      </c>
      <c r="AC56">
        <v>86.97</v>
      </c>
      <c r="AD56">
        <v>57.52</v>
      </c>
      <c r="AE56">
        <v>46.49</v>
      </c>
      <c r="AF56">
        <v>31.21</v>
      </c>
      <c r="AG56">
        <v>36.07</v>
      </c>
      <c r="AH56">
        <v>57.52</v>
      </c>
      <c r="AI56">
        <v>0</v>
      </c>
    </row>
    <row r="57" spans="2:39" x14ac:dyDescent="0.45">
      <c r="B57" t="s">
        <v>1132</v>
      </c>
      <c r="C57" t="s">
        <v>1133</v>
      </c>
      <c r="D57">
        <v>46</v>
      </c>
      <c r="E57" t="s">
        <v>1055</v>
      </c>
      <c r="F57">
        <v>3.36</v>
      </c>
      <c r="G57">
        <v>3.37</v>
      </c>
      <c r="H57" t="s">
        <v>1134</v>
      </c>
      <c r="I57">
        <v>52.75</v>
      </c>
      <c r="J57">
        <v>20</v>
      </c>
      <c r="K57">
        <v>29.63</v>
      </c>
      <c r="L57">
        <v>15.89</v>
      </c>
      <c r="M57">
        <v>29.09</v>
      </c>
      <c r="N57">
        <v>53.89</v>
      </c>
      <c r="O57">
        <v>25.01</v>
      </c>
      <c r="P57">
        <v>36.51</v>
      </c>
      <c r="Q57">
        <v>33.869999999999997</v>
      </c>
      <c r="R57">
        <v>61.49</v>
      </c>
      <c r="S57">
        <v>21.93</v>
      </c>
      <c r="T57">
        <v>26.63</v>
      </c>
      <c r="U57">
        <v>27.79</v>
      </c>
      <c r="V57">
        <v>43.2</v>
      </c>
      <c r="W57">
        <v>51.1</v>
      </c>
      <c r="X57">
        <v>12.6</v>
      </c>
      <c r="Y57">
        <v>19.440000000000001</v>
      </c>
      <c r="Z57">
        <v>8.3699999999999992</v>
      </c>
      <c r="AA57">
        <v>10.62</v>
      </c>
      <c r="AB57">
        <v>34.21</v>
      </c>
      <c r="AC57">
        <v>20.65</v>
      </c>
      <c r="AD57">
        <v>14.9</v>
      </c>
      <c r="AE57">
        <v>72.92</v>
      </c>
      <c r="AF57">
        <v>21.24</v>
      </c>
      <c r="AG57">
        <v>0</v>
      </c>
    </row>
    <row r="58" spans="2:39" x14ac:dyDescent="0.45">
      <c r="B58" t="s">
        <v>1132</v>
      </c>
      <c r="C58" t="s">
        <v>1135</v>
      </c>
      <c r="D58" t="s">
        <v>924</v>
      </c>
      <c r="E58" t="s">
        <v>1136</v>
      </c>
      <c r="F58" t="s">
        <v>1137</v>
      </c>
      <c r="G58" t="s">
        <v>1069</v>
      </c>
      <c r="H58" t="s">
        <v>1055</v>
      </c>
      <c r="I58">
        <v>5.82</v>
      </c>
      <c r="J58">
        <v>16.34</v>
      </c>
      <c r="K58" t="s">
        <v>1138</v>
      </c>
      <c r="L58">
        <v>44.01</v>
      </c>
      <c r="M58">
        <v>16</v>
      </c>
      <c r="N58">
        <v>25.93</v>
      </c>
      <c r="O58">
        <v>34.229999999999997</v>
      </c>
      <c r="P58">
        <v>5.03</v>
      </c>
      <c r="Q58">
        <v>46.22</v>
      </c>
      <c r="R58">
        <v>37.229999999999997</v>
      </c>
      <c r="S58">
        <v>33.57</v>
      </c>
      <c r="T58">
        <v>39.79</v>
      </c>
      <c r="U58">
        <v>38.89</v>
      </c>
      <c r="V58">
        <v>29.17</v>
      </c>
      <c r="W58">
        <v>36.18</v>
      </c>
      <c r="X58">
        <v>35.24</v>
      </c>
      <c r="Y58">
        <v>42.86</v>
      </c>
      <c r="Z58">
        <v>41.74</v>
      </c>
      <c r="AA58">
        <v>12.6</v>
      </c>
      <c r="AB58">
        <v>0</v>
      </c>
      <c r="AC58">
        <v>1.5</v>
      </c>
      <c r="AD58">
        <v>3.23</v>
      </c>
      <c r="AE58">
        <v>37.19</v>
      </c>
      <c r="AF58">
        <v>11.48</v>
      </c>
      <c r="AG58">
        <v>1.67</v>
      </c>
      <c r="AH58">
        <v>6.17</v>
      </c>
      <c r="AI58">
        <v>3.54</v>
      </c>
      <c r="AJ58">
        <v>0</v>
      </c>
    </row>
    <row r="59" spans="2:39" x14ac:dyDescent="0.45">
      <c r="B59" t="s">
        <v>1132</v>
      </c>
      <c r="C59" t="s">
        <v>1139</v>
      </c>
      <c r="D59" t="s">
        <v>916</v>
      </c>
      <c r="E59" t="s">
        <v>1140</v>
      </c>
      <c r="F59" t="s">
        <v>1069</v>
      </c>
      <c r="G59" t="s">
        <v>1055</v>
      </c>
      <c r="H59">
        <v>2.0099999999999998</v>
      </c>
      <c r="I59">
        <v>0</v>
      </c>
      <c r="J59" t="s">
        <v>1141</v>
      </c>
      <c r="K59">
        <v>41.33</v>
      </c>
      <c r="L59">
        <v>16</v>
      </c>
      <c r="M59">
        <v>14.81</v>
      </c>
      <c r="N59">
        <v>24.57</v>
      </c>
      <c r="O59">
        <v>43.72</v>
      </c>
      <c r="P59">
        <v>36.85</v>
      </c>
      <c r="Q59">
        <v>50.51</v>
      </c>
      <c r="R59">
        <v>28.32</v>
      </c>
      <c r="S59">
        <v>41.51</v>
      </c>
      <c r="T59">
        <v>82.12</v>
      </c>
      <c r="U59">
        <v>14.18</v>
      </c>
      <c r="V59">
        <v>23.12</v>
      </c>
      <c r="W59">
        <v>26.07</v>
      </c>
      <c r="X59">
        <v>21.43</v>
      </c>
      <c r="Y59">
        <v>49.53</v>
      </c>
      <c r="Z59">
        <v>3.15</v>
      </c>
      <c r="AA59">
        <v>5.56</v>
      </c>
      <c r="AB59">
        <v>3.13</v>
      </c>
      <c r="AC59">
        <v>10.51</v>
      </c>
      <c r="AD59">
        <v>24.13</v>
      </c>
      <c r="AE59">
        <v>10.75</v>
      </c>
      <c r="AF59">
        <v>7.64</v>
      </c>
      <c r="AG59">
        <v>20.69</v>
      </c>
      <c r="AH59">
        <v>20.350000000000001</v>
      </c>
      <c r="AI59">
        <v>0</v>
      </c>
    </row>
    <row r="60" spans="2:39" x14ac:dyDescent="0.45">
      <c r="B60" t="s">
        <v>1142</v>
      </c>
      <c r="C60" t="s">
        <v>1008</v>
      </c>
      <c r="D60" t="s">
        <v>916</v>
      </c>
      <c r="E60" t="s">
        <v>1143</v>
      </c>
      <c r="F60">
        <v>47</v>
      </c>
      <c r="G60" t="s">
        <v>1055</v>
      </c>
      <c r="H60">
        <v>3.46</v>
      </c>
      <c r="I60">
        <v>0</v>
      </c>
      <c r="J60" t="s">
        <v>1144</v>
      </c>
      <c r="K60">
        <v>58.84</v>
      </c>
      <c r="L60">
        <v>8</v>
      </c>
      <c r="M60">
        <v>7.41</v>
      </c>
      <c r="N60">
        <v>0</v>
      </c>
      <c r="O60">
        <v>0</v>
      </c>
      <c r="P60">
        <v>45.01</v>
      </c>
      <c r="Q60">
        <v>16.82</v>
      </c>
      <c r="R60">
        <v>39.979999999999997</v>
      </c>
      <c r="S60">
        <v>59.44</v>
      </c>
      <c r="T60">
        <v>19.8</v>
      </c>
      <c r="U60">
        <v>22.59</v>
      </c>
      <c r="V60">
        <v>32.159999999999997</v>
      </c>
      <c r="W60">
        <v>34.96</v>
      </c>
      <c r="X60">
        <v>39.46</v>
      </c>
      <c r="Y60">
        <v>30.89</v>
      </c>
      <c r="Z60">
        <v>22.05</v>
      </c>
      <c r="AA60">
        <v>25</v>
      </c>
      <c r="AB60">
        <v>3.68</v>
      </c>
      <c r="AC60">
        <v>7.52</v>
      </c>
      <c r="AD60">
        <v>30.41</v>
      </c>
      <c r="AE60">
        <v>2.0499999999999998</v>
      </c>
      <c r="AF60">
        <v>18.920000000000002</v>
      </c>
      <c r="AG60">
        <v>23.54</v>
      </c>
      <c r="AH60">
        <v>41.59</v>
      </c>
      <c r="AI60">
        <v>0</v>
      </c>
    </row>
    <row r="61" spans="2:39" x14ac:dyDescent="0.45">
      <c r="B61" t="s">
        <v>1142</v>
      </c>
      <c r="C61" t="s">
        <v>1004</v>
      </c>
      <c r="D61" t="s">
        <v>916</v>
      </c>
      <c r="E61" t="s">
        <v>1145</v>
      </c>
      <c r="F61">
        <v>42</v>
      </c>
      <c r="G61" t="s">
        <v>1055</v>
      </c>
      <c r="H61">
        <v>5.9</v>
      </c>
      <c r="I61">
        <v>3.09</v>
      </c>
      <c r="J61" t="s">
        <v>1146</v>
      </c>
      <c r="K61">
        <v>82.28</v>
      </c>
      <c r="L61">
        <v>20</v>
      </c>
      <c r="M61">
        <v>25.93</v>
      </c>
      <c r="N61">
        <v>24.96</v>
      </c>
      <c r="O61">
        <v>0</v>
      </c>
      <c r="P61">
        <v>56.89</v>
      </c>
      <c r="Q61">
        <v>31.64</v>
      </c>
      <c r="R61">
        <v>28.93</v>
      </c>
      <c r="S61">
        <v>72.87</v>
      </c>
      <c r="T61">
        <v>64.680000000000007</v>
      </c>
      <c r="U61">
        <v>29.39</v>
      </c>
      <c r="V61">
        <v>31.16</v>
      </c>
      <c r="W61">
        <v>34.67</v>
      </c>
      <c r="X61">
        <v>50.68</v>
      </c>
      <c r="Y61">
        <v>58.16</v>
      </c>
      <c r="Z61">
        <v>6.3</v>
      </c>
      <c r="AA61">
        <v>2.78</v>
      </c>
      <c r="AB61">
        <v>0.52</v>
      </c>
      <c r="AC61">
        <v>6.94</v>
      </c>
      <c r="AD61">
        <v>31.9</v>
      </c>
      <c r="AE61">
        <v>1.42</v>
      </c>
      <c r="AF61">
        <v>15.64</v>
      </c>
      <c r="AG61">
        <v>7.83</v>
      </c>
      <c r="AH61">
        <v>12.39</v>
      </c>
      <c r="AI61">
        <v>0</v>
      </c>
    </row>
    <row r="62" spans="2:39" x14ac:dyDescent="0.45">
      <c r="B62" t="s">
        <v>1142</v>
      </c>
      <c r="C62" t="s">
        <v>1147</v>
      </c>
      <c r="D62">
        <v>48</v>
      </c>
      <c r="E62" t="s">
        <v>1055</v>
      </c>
      <c r="F62">
        <v>3.25</v>
      </c>
      <c r="G62">
        <v>0</v>
      </c>
      <c r="H62" t="s">
        <v>1148</v>
      </c>
      <c r="I62">
        <v>64.03</v>
      </c>
      <c r="J62">
        <v>52</v>
      </c>
      <c r="K62">
        <v>59.26</v>
      </c>
      <c r="L62">
        <v>0.82</v>
      </c>
      <c r="M62">
        <v>0</v>
      </c>
      <c r="N62">
        <v>64.81</v>
      </c>
      <c r="O62">
        <v>21.44</v>
      </c>
      <c r="P62">
        <v>27.93</v>
      </c>
      <c r="Q62">
        <v>41.97</v>
      </c>
      <c r="R62">
        <v>23.88</v>
      </c>
      <c r="S62">
        <v>27.36</v>
      </c>
      <c r="T62">
        <v>38.69</v>
      </c>
      <c r="U62">
        <v>28.65</v>
      </c>
      <c r="V62">
        <v>48.98</v>
      </c>
      <c r="W62">
        <v>56.37</v>
      </c>
      <c r="X62">
        <v>4.72</v>
      </c>
      <c r="Y62">
        <v>13.89</v>
      </c>
      <c r="Z62">
        <v>2.4500000000000002</v>
      </c>
      <c r="AA62">
        <v>14.21</v>
      </c>
      <c r="AB62">
        <v>49.75</v>
      </c>
      <c r="AC62">
        <v>28.55</v>
      </c>
      <c r="AD62">
        <v>7.34</v>
      </c>
      <c r="AE62">
        <v>12.76</v>
      </c>
      <c r="AF62">
        <v>34.51</v>
      </c>
      <c r="AG62">
        <v>0</v>
      </c>
    </row>
    <row r="63" spans="2:39" x14ac:dyDescent="0.45">
      <c r="B63" t="s">
        <v>1149</v>
      </c>
      <c r="C63" t="s">
        <v>1150</v>
      </c>
      <c r="D63" t="s">
        <v>1151</v>
      </c>
      <c r="E63" t="s">
        <v>924</v>
      </c>
      <c r="F63" t="s">
        <v>1152</v>
      </c>
      <c r="G63" t="s">
        <v>1153</v>
      </c>
      <c r="H63" t="s">
        <v>916</v>
      </c>
      <c r="I63" t="s">
        <v>1154</v>
      </c>
      <c r="J63" t="s">
        <v>1069</v>
      </c>
      <c r="K63" t="s">
        <v>1055</v>
      </c>
      <c r="L63">
        <v>4.2</v>
      </c>
      <c r="M63">
        <v>0</v>
      </c>
      <c r="N63" t="s">
        <v>1155</v>
      </c>
      <c r="O63">
        <v>41.97</v>
      </c>
      <c r="P63">
        <v>4</v>
      </c>
      <c r="Q63">
        <v>11.11</v>
      </c>
      <c r="R63">
        <v>0</v>
      </c>
      <c r="S63">
        <v>0</v>
      </c>
      <c r="T63">
        <v>24.16</v>
      </c>
      <c r="U63">
        <v>25.55</v>
      </c>
      <c r="V63">
        <v>12.92</v>
      </c>
      <c r="W63">
        <v>31.22</v>
      </c>
      <c r="X63">
        <v>10.6</v>
      </c>
      <c r="Y63">
        <v>30.6</v>
      </c>
      <c r="Z63">
        <v>52.26</v>
      </c>
      <c r="AA63">
        <v>32.090000000000003</v>
      </c>
      <c r="AB63">
        <v>72.790000000000006</v>
      </c>
      <c r="AC63">
        <v>40.909999999999997</v>
      </c>
      <c r="AD63">
        <v>1.57</v>
      </c>
      <c r="AE63">
        <v>0</v>
      </c>
      <c r="AF63">
        <v>0</v>
      </c>
      <c r="AG63">
        <v>2.36</v>
      </c>
      <c r="AH63">
        <v>49.26</v>
      </c>
      <c r="AI63">
        <v>2.82</v>
      </c>
      <c r="AJ63">
        <v>8.4</v>
      </c>
      <c r="AK63">
        <v>12.81</v>
      </c>
      <c r="AL63">
        <v>7.96</v>
      </c>
      <c r="AM63">
        <v>0</v>
      </c>
    </row>
    <row r="64" spans="2:39" x14ac:dyDescent="0.45">
      <c r="B64" t="s">
        <v>1149</v>
      </c>
      <c r="C64" t="s">
        <v>1156</v>
      </c>
      <c r="D64" t="s">
        <v>1157</v>
      </c>
      <c r="E64" t="s">
        <v>1119</v>
      </c>
      <c r="F64" t="s">
        <v>1158</v>
      </c>
      <c r="G64" t="s">
        <v>916</v>
      </c>
      <c r="H64" t="s">
        <v>1159</v>
      </c>
      <c r="I64" t="s">
        <v>1085</v>
      </c>
      <c r="J64" t="s">
        <v>1055</v>
      </c>
      <c r="K64">
        <v>0.56999999999999995</v>
      </c>
      <c r="L64">
        <v>0</v>
      </c>
      <c r="M64" t="s">
        <v>1160</v>
      </c>
      <c r="N64">
        <v>27.08</v>
      </c>
      <c r="O64">
        <v>4</v>
      </c>
      <c r="P64">
        <v>3.7</v>
      </c>
      <c r="Q64">
        <v>0</v>
      </c>
      <c r="R64">
        <v>0</v>
      </c>
      <c r="S64">
        <v>7.55</v>
      </c>
      <c r="T64">
        <v>18.04</v>
      </c>
      <c r="U64">
        <v>20</v>
      </c>
      <c r="V64">
        <v>47.27</v>
      </c>
      <c r="W64">
        <v>89.29</v>
      </c>
      <c r="X64">
        <v>35.340000000000003</v>
      </c>
      <c r="Y64">
        <v>36.68</v>
      </c>
      <c r="Z64">
        <v>36.96</v>
      </c>
      <c r="AA64">
        <v>32.65</v>
      </c>
      <c r="AB64">
        <v>40.51</v>
      </c>
      <c r="AC64">
        <v>0</v>
      </c>
      <c r="AD64">
        <v>5.56</v>
      </c>
      <c r="AE64">
        <v>6.28</v>
      </c>
      <c r="AF64">
        <v>10.7</v>
      </c>
      <c r="AG64">
        <v>79.67</v>
      </c>
      <c r="AH64">
        <v>22.78</v>
      </c>
      <c r="AI64">
        <v>21.21</v>
      </c>
      <c r="AJ64">
        <v>34.85</v>
      </c>
      <c r="AK64">
        <v>9.73</v>
      </c>
      <c r="AL64">
        <v>0</v>
      </c>
    </row>
    <row r="65" spans="2:39" x14ac:dyDescent="0.45">
      <c r="B65" t="s">
        <v>1161</v>
      </c>
      <c r="C65" t="s">
        <v>1162</v>
      </c>
      <c r="D65" t="s">
        <v>924</v>
      </c>
      <c r="E65" t="s">
        <v>1107</v>
      </c>
      <c r="F65" t="s">
        <v>1119</v>
      </c>
      <c r="G65" t="s">
        <v>1107</v>
      </c>
      <c r="H65" t="s">
        <v>1163</v>
      </c>
      <c r="I65">
        <v>48</v>
      </c>
      <c r="J65" t="s">
        <v>1055</v>
      </c>
      <c r="K65">
        <v>1.01</v>
      </c>
      <c r="L65">
        <v>0</v>
      </c>
      <c r="M65" t="s">
        <v>1164</v>
      </c>
      <c r="N65">
        <v>51.75</v>
      </c>
      <c r="O65">
        <v>12</v>
      </c>
      <c r="P65">
        <v>29.63</v>
      </c>
      <c r="Q65">
        <v>34.56</v>
      </c>
      <c r="R65">
        <v>10.06</v>
      </c>
      <c r="S65">
        <v>47.26</v>
      </c>
      <c r="T65">
        <v>30.61</v>
      </c>
      <c r="U65">
        <v>30.2</v>
      </c>
      <c r="V65">
        <v>32.229999999999997</v>
      </c>
      <c r="W65">
        <v>41.37</v>
      </c>
      <c r="X65">
        <v>30.5</v>
      </c>
      <c r="Y65">
        <v>38.19</v>
      </c>
      <c r="Z65">
        <v>33.520000000000003</v>
      </c>
      <c r="AA65">
        <v>46.94</v>
      </c>
      <c r="AB65">
        <v>51.49</v>
      </c>
      <c r="AC65">
        <v>0</v>
      </c>
      <c r="AD65">
        <v>0</v>
      </c>
      <c r="AE65">
        <v>0</v>
      </c>
      <c r="AF65">
        <v>2.42</v>
      </c>
      <c r="AG65">
        <v>41.82</v>
      </c>
      <c r="AH65">
        <v>17.88</v>
      </c>
      <c r="AI65">
        <v>4.66</v>
      </c>
      <c r="AJ65">
        <v>32.06</v>
      </c>
      <c r="AK65">
        <v>5.31</v>
      </c>
      <c r="AL65">
        <v>0</v>
      </c>
    </row>
    <row r="66" spans="2:39" x14ac:dyDescent="0.45">
      <c r="B66" t="s">
        <v>1161</v>
      </c>
      <c r="C66" t="s">
        <v>1165</v>
      </c>
      <c r="D66" t="s">
        <v>1069</v>
      </c>
      <c r="E66" t="s">
        <v>1055</v>
      </c>
      <c r="F66">
        <v>1.21</v>
      </c>
      <c r="G66">
        <v>0</v>
      </c>
      <c r="H66" t="s">
        <v>1166</v>
      </c>
      <c r="I66">
        <v>48.48</v>
      </c>
      <c r="J66">
        <v>12</v>
      </c>
      <c r="K66">
        <v>18.52</v>
      </c>
      <c r="L66">
        <v>23.03</v>
      </c>
      <c r="M66">
        <v>19.41</v>
      </c>
      <c r="N66">
        <v>37.81</v>
      </c>
      <c r="O66">
        <v>33.32</v>
      </c>
      <c r="P66">
        <v>31.98</v>
      </c>
      <c r="Q66">
        <v>19.59</v>
      </c>
      <c r="R66">
        <v>43.33</v>
      </c>
      <c r="S66">
        <v>28.91</v>
      </c>
      <c r="T66">
        <v>46.23</v>
      </c>
      <c r="U66">
        <v>34.96</v>
      </c>
      <c r="V66">
        <v>42.18</v>
      </c>
      <c r="W66">
        <v>57.66</v>
      </c>
      <c r="X66">
        <v>0</v>
      </c>
      <c r="Y66">
        <v>0</v>
      </c>
      <c r="Z66">
        <v>0</v>
      </c>
      <c r="AA66">
        <v>6.2</v>
      </c>
      <c r="AB66">
        <v>57.85</v>
      </c>
      <c r="AC66">
        <v>26.96</v>
      </c>
      <c r="AD66">
        <v>6.15</v>
      </c>
      <c r="AE66">
        <v>16.71</v>
      </c>
      <c r="AF66">
        <v>5.31</v>
      </c>
      <c r="AG66">
        <v>0</v>
      </c>
    </row>
    <row r="67" spans="2:39" x14ac:dyDescent="0.45">
      <c r="B67" t="s">
        <v>1161</v>
      </c>
      <c r="C67" t="s">
        <v>1167</v>
      </c>
      <c r="D67">
        <v>48</v>
      </c>
      <c r="E67" t="s">
        <v>1055</v>
      </c>
      <c r="F67">
        <v>1.81</v>
      </c>
      <c r="G67">
        <v>0</v>
      </c>
      <c r="H67" t="s">
        <v>1168</v>
      </c>
      <c r="I67">
        <v>52.69</v>
      </c>
      <c r="J67">
        <v>12</v>
      </c>
      <c r="K67">
        <v>11.11</v>
      </c>
      <c r="L67">
        <v>15.33</v>
      </c>
      <c r="M67">
        <v>18.649999999999999</v>
      </c>
      <c r="N67">
        <v>36.65</v>
      </c>
      <c r="O67">
        <v>27.35</v>
      </c>
      <c r="P67">
        <v>31.5</v>
      </c>
      <c r="Q67">
        <v>35.53</v>
      </c>
      <c r="R67">
        <v>59.73</v>
      </c>
      <c r="S67">
        <v>28.02</v>
      </c>
      <c r="T67">
        <v>35.18</v>
      </c>
      <c r="U67">
        <v>32.380000000000003</v>
      </c>
      <c r="V67">
        <v>52.04</v>
      </c>
      <c r="W67">
        <v>52.92</v>
      </c>
      <c r="X67">
        <v>3.15</v>
      </c>
      <c r="Y67">
        <v>5.56</v>
      </c>
      <c r="Z67">
        <v>2.4300000000000002</v>
      </c>
      <c r="AA67">
        <v>21.03</v>
      </c>
      <c r="AB67">
        <v>44.63</v>
      </c>
      <c r="AC67">
        <v>31.08</v>
      </c>
      <c r="AD67">
        <v>15.82</v>
      </c>
      <c r="AE67">
        <v>26.96</v>
      </c>
      <c r="AF67">
        <v>10.62</v>
      </c>
      <c r="AG67">
        <v>0</v>
      </c>
    </row>
    <row r="68" spans="2:39" x14ac:dyDescent="0.45">
      <c r="B68" t="s">
        <v>1169</v>
      </c>
      <c r="C68" t="s">
        <v>1170</v>
      </c>
      <c r="D68" t="s">
        <v>924</v>
      </c>
      <c r="E68" t="s">
        <v>1107</v>
      </c>
      <c r="F68" t="s">
        <v>1171</v>
      </c>
      <c r="G68" t="s">
        <v>916</v>
      </c>
      <c r="H68" t="s">
        <v>1172</v>
      </c>
      <c r="I68" t="s">
        <v>1043</v>
      </c>
      <c r="J68" t="s">
        <v>1055</v>
      </c>
      <c r="K68">
        <v>0.46</v>
      </c>
      <c r="L68">
        <v>0</v>
      </c>
      <c r="M68" t="s">
        <v>1173</v>
      </c>
      <c r="N68">
        <v>62.51</v>
      </c>
      <c r="O68">
        <v>4</v>
      </c>
      <c r="P68">
        <v>29.63</v>
      </c>
      <c r="Q68">
        <v>15.22</v>
      </c>
      <c r="R68">
        <v>97.5</v>
      </c>
      <c r="S68">
        <v>23.5</v>
      </c>
      <c r="T68">
        <v>22.82</v>
      </c>
      <c r="U68">
        <v>40.54</v>
      </c>
      <c r="V68">
        <v>9.9700000000000006</v>
      </c>
      <c r="W68">
        <v>30.51</v>
      </c>
      <c r="X68">
        <v>38.9</v>
      </c>
      <c r="Y68">
        <v>32.659999999999997</v>
      </c>
      <c r="Z68">
        <v>38.11</v>
      </c>
      <c r="AA68">
        <v>62.59</v>
      </c>
      <c r="AB68">
        <v>44.38</v>
      </c>
      <c r="AC68">
        <v>0</v>
      </c>
      <c r="AD68">
        <v>0</v>
      </c>
      <c r="AE68">
        <v>1.97</v>
      </c>
      <c r="AF68">
        <v>13.62</v>
      </c>
      <c r="AG68">
        <v>79.17</v>
      </c>
      <c r="AH68">
        <v>12.87</v>
      </c>
      <c r="AI68">
        <v>8.86</v>
      </c>
      <c r="AJ68">
        <v>56.2</v>
      </c>
      <c r="AK68">
        <v>3.54</v>
      </c>
      <c r="AL68">
        <v>0</v>
      </c>
    </row>
    <row r="69" spans="2:39" x14ac:dyDescent="0.45">
      <c r="B69" t="s">
        <v>1169</v>
      </c>
      <c r="C69" t="s">
        <v>1174</v>
      </c>
      <c r="D69" t="s">
        <v>1175</v>
      </c>
      <c r="E69" t="s">
        <v>916</v>
      </c>
      <c r="F69" t="s">
        <v>1176</v>
      </c>
      <c r="G69" t="s">
        <v>1069</v>
      </c>
      <c r="H69" t="s">
        <v>1055</v>
      </c>
      <c r="I69">
        <v>2.0299999999999998</v>
      </c>
      <c r="J69">
        <v>0</v>
      </c>
      <c r="K69" t="s">
        <v>1177</v>
      </c>
      <c r="L69">
        <v>56.7</v>
      </c>
      <c r="M69">
        <v>20</v>
      </c>
      <c r="N69">
        <v>33.33</v>
      </c>
      <c r="O69">
        <v>6.36</v>
      </c>
      <c r="P69">
        <v>30.56</v>
      </c>
      <c r="Q69">
        <v>45.47</v>
      </c>
      <c r="R69">
        <v>18.62</v>
      </c>
      <c r="S69">
        <v>24.01</v>
      </c>
      <c r="T69">
        <v>23.59</v>
      </c>
      <c r="U69">
        <v>27.24</v>
      </c>
      <c r="V69">
        <v>21.69</v>
      </c>
      <c r="W69">
        <v>28.64</v>
      </c>
      <c r="X69">
        <v>33.520000000000003</v>
      </c>
      <c r="Y69">
        <v>35.71</v>
      </c>
      <c r="Z69">
        <v>51.56</v>
      </c>
      <c r="AA69">
        <v>0</v>
      </c>
      <c r="AB69">
        <v>0</v>
      </c>
      <c r="AC69">
        <v>0</v>
      </c>
      <c r="AD69">
        <v>7.56</v>
      </c>
      <c r="AE69">
        <v>52.73</v>
      </c>
      <c r="AF69">
        <v>22.86</v>
      </c>
      <c r="AG69">
        <v>4.05</v>
      </c>
      <c r="AH69">
        <v>8.85</v>
      </c>
      <c r="AI69">
        <v>8.85</v>
      </c>
      <c r="AJ69">
        <v>0</v>
      </c>
    </row>
    <row r="70" spans="2:39" x14ac:dyDescent="0.45">
      <c r="B70" t="s">
        <v>1169</v>
      </c>
      <c r="C70" t="s">
        <v>1178</v>
      </c>
      <c r="D70" t="s">
        <v>916</v>
      </c>
      <c r="E70" t="s">
        <v>1179</v>
      </c>
      <c r="F70" t="s">
        <v>1180</v>
      </c>
      <c r="G70" t="s">
        <v>1055</v>
      </c>
      <c r="H70">
        <v>1.1399999999999999</v>
      </c>
      <c r="I70">
        <v>0</v>
      </c>
      <c r="J70" t="s">
        <v>1181</v>
      </c>
      <c r="K70">
        <v>34.9</v>
      </c>
      <c r="L70">
        <v>8</v>
      </c>
      <c r="M70">
        <v>14.81</v>
      </c>
      <c r="N70">
        <v>4.71</v>
      </c>
      <c r="O70">
        <v>47.64</v>
      </c>
      <c r="P70">
        <v>41.51</v>
      </c>
      <c r="Q70">
        <v>49.15</v>
      </c>
      <c r="R70">
        <v>19.38</v>
      </c>
      <c r="S70">
        <v>24.28</v>
      </c>
      <c r="T70">
        <v>42.04</v>
      </c>
      <c r="U70">
        <v>22.81</v>
      </c>
      <c r="V70">
        <v>32.659999999999997</v>
      </c>
      <c r="W70">
        <v>25.5</v>
      </c>
      <c r="X70">
        <v>53.4</v>
      </c>
      <c r="Y70">
        <v>40.479999999999997</v>
      </c>
      <c r="Z70">
        <v>0</v>
      </c>
      <c r="AA70">
        <v>0</v>
      </c>
      <c r="AB70">
        <v>0</v>
      </c>
      <c r="AC70">
        <v>8.07</v>
      </c>
      <c r="AD70">
        <v>22.98</v>
      </c>
      <c r="AE70">
        <v>15.83</v>
      </c>
      <c r="AF70">
        <v>31.75</v>
      </c>
      <c r="AG70">
        <v>20.66</v>
      </c>
      <c r="AH70">
        <v>7.96</v>
      </c>
      <c r="AI70">
        <v>0</v>
      </c>
    </row>
    <row r="71" spans="2:39" x14ac:dyDescent="0.45">
      <c r="B71" t="s">
        <v>1169</v>
      </c>
      <c r="C71" t="s">
        <v>1182</v>
      </c>
      <c r="D71" t="s">
        <v>924</v>
      </c>
      <c r="E71" t="s">
        <v>1183</v>
      </c>
      <c r="F71" t="s">
        <v>916</v>
      </c>
      <c r="G71" t="s">
        <v>1184</v>
      </c>
      <c r="H71" t="s">
        <v>1043</v>
      </c>
      <c r="I71" t="s">
        <v>1055</v>
      </c>
      <c r="J71">
        <v>2.38</v>
      </c>
      <c r="K71">
        <v>3.17</v>
      </c>
      <c r="L71" t="s">
        <v>1185</v>
      </c>
      <c r="M71">
        <v>51.84</v>
      </c>
      <c r="N71">
        <v>24</v>
      </c>
      <c r="O71">
        <v>48.15</v>
      </c>
      <c r="P71">
        <v>1.27</v>
      </c>
      <c r="Q71">
        <v>0</v>
      </c>
      <c r="R71">
        <v>49.97</v>
      </c>
      <c r="S71">
        <v>18.239999999999998</v>
      </c>
      <c r="T71">
        <v>23.79</v>
      </c>
      <c r="U71">
        <v>28.11</v>
      </c>
      <c r="V71">
        <v>17.510000000000002</v>
      </c>
      <c r="W71">
        <v>22.97</v>
      </c>
      <c r="X71">
        <v>32.659999999999997</v>
      </c>
      <c r="Y71">
        <v>33.24</v>
      </c>
      <c r="Z71">
        <v>55.1</v>
      </c>
      <c r="AA71">
        <v>41.66</v>
      </c>
      <c r="AB71">
        <v>6.3</v>
      </c>
      <c r="AC71">
        <v>0</v>
      </c>
      <c r="AD71">
        <v>0</v>
      </c>
      <c r="AE71">
        <v>7.91</v>
      </c>
      <c r="AF71">
        <v>57.36</v>
      </c>
      <c r="AG71">
        <v>24.4</v>
      </c>
      <c r="AH71">
        <v>11.61</v>
      </c>
      <c r="AI71">
        <v>11.51</v>
      </c>
      <c r="AJ71">
        <v>20.350000000000001</v>
      </c>
      <c r="AK71">
        <v>0</v>
      </c>
    </row>
    <row r="72" spans="2:39" x14ac:dyDescent="0.45">
      <c r="B72" t="s">
        <v>1169</v>
      </c>
      <c r="C72" t="s">
        <v>1186</v>
      </c>
      <c r="D72" t="s">
        <v>1043</v>
      </c>
      <c r="E72" t="s">
        <v>1055</v>
      </c>
      <c r="F72">
        <v>2.86</v>
      </c>
      <c r="G72">
        <v>5</v>
      </c>
      <c r="H72" t="s">
        <v>1187</v>
      </c>
      <c r="I72">
        <v>54.42</v>
      </c>
      <c r="J72">
        <v>24</v>
      </c>
      <c r="K72">
        <v>66.67</v>
      </c>
      <c r="L72">
        <v>11.62</v>
      </c>
      <c r="M72">
        <v>0</v>
      </c>
      <c r="N72">
        <v>45.63</v>
      </c>
      <c r="O72">
        <v>45.9</v>
      </c>
      <c r="P72">
        <v>31.93</v>
      </c>
      <c r="Q72">
        <v>24.47</v>
      </c>
      <c r="R72">
        <v>46.61</v>
      </c>
      <c r="S72">
        <v>34.18</v>
      </c>
      <c r="T72">
        <v>33.67</v>
      </c>
      <c r="U72">
        <v>39.54</v>
      </c>
      <c r="V72">
        <v>51.02</v>
      </c>
      <c r="W72">
        <v>44.56</v>
      </c>
      <c r="X72">
        <v>0</v>
      </c>
      <c r="Y72">
        <v>2.78</v>
      </c>
      <c r="Z72">
        <v>1.1100000000000001</v>
      </c>
      <c r="AA72">
        <v>4.76</v>
      </c>
      <c r="AB72">
        <v>53.39</v>
      </c>
      <c r="AC72">
        <v>16.82</v>
      </c>
      <c r="AD72">
        <v>1.1200000000000001</v>
      </c>
      <c r="AE72">
        <v>0.44</v>
      </c>
      <c r="AF72">
        <v>20.350000000000001</v>
      </c>
      <c r="AG72">
        <v>0</v>
      </c>
    </row>
    <row r="73" spans="2:39" x14ac:dyDescent="0.45">
      <c r="B73" t="s">
        <v>1188</v>
      </c>
      <c r="C73" t="s">
        <v>1189</v>
      </c>
      <c r="D73" t="s">
        <v>916</v>
      </c>
      <c r="E73" t="s">
        <v>1190</v>
      </c>
      <c r="F73" t="s">
        <v>1085</v>
      </c>
      <c r="G73" t="s">
        <v>1055</v>
      </c>
      <c r="H73">
        <v>1.74</v>
      </c>
      <c r="I73">
        <v>0</v>
      </c>
      <c r="J73" t="s">
        <v>1191</v>
      </c>
      <c r="K73">
        <v>29.5</v>
      </c>
      <c r="L73">
        <v>8</v>
      </c>
      <c r="M73">
        <v>7.41</v>
      </c>
      <c r="N73">
        <v>11.3</v>
      </c>
      <c r="O73">
        <v>0</v>
      </c>
      <c r="P73">
        <v>29.5</v>
      </c>
      <c r="Q73">
        <v>17.420000000000002</v>
      </c>
      <c r="R73">
        <v>4.3099999999999996</v>
      </c>
      <c r="S73">
        <v>3.21</v>
      </c>
      <c r="T73">
        <v>31.76</v>
      </c>
      <c r="U73">
        <v>33.53</v>
      </c>
      <c r="V73">
        <v>41.21</v>
      </c>
      <c r="W73">
        <v>38.97</v>
      </c>
      <c r="X73">
        <v>53.06</v>
      </c>
      <c r="Y73">
        <v>40.82</v>
      </c>
      <c r="Z73">
        <v>7.87</v>
      </c>
      <c r="AA73">
        <v>5.56</v>
      </c>
      <c r="AB73">
        <v>6.96</v>
      </c>
      <c r="AC73">
        <v>45.04</v>
      </c>
      <c r="AD73">
        <v>31.4</v>
      </c>
      <c r="AE73">
        <v>14.64</v>
      </c>
      <c r="AF73">
        <v>8.2899999999999991</v>
      </c>
      <c r="AG73">
        <v>2.82</v>
      </c>
      <c r="AH73">
        <v>16.809999999999999</v>
      </c>
      <c r="AI73">
        <v>0</v>
      </c>
    </row>
    <row r="74" spans="2:39" x14ac:dyDescent="0.45">
      <c r="B74" t="s">
        <v>1188</v>
      </c>
      <c r="C74" t="s">
        <v>1192</v>
      </c>
      <c r="D74" t="s">
        <v>916</v>
      </c>
      <c r="E74" t="s">
        <v>1193</v>
      </c>
      <c r="F74" t="s">
        <v>1069</v>
      </c>
      <c r="G74" t="s">
        <v>1055</v>
      </c>
      <c r="H74">
        <v>0.59</v>
      </c>
      <c r="I74">
        <v>0</v>
      </c>
      <c r="J74" t="s">
        <v>1194</v>
      </c>
      <c r="K74">
        <v>39.450000000000003</v>
      </c>
      <c r="L74">
        <v>0</v>
      </c>
      <c r="M74">
        <v>14.81</v>
      </c>
      <c r="N74">
        <v>0</v>
      </c>
      <c r="O74">
        <v>0</v>
      </c>
      <c r="P74">
        <v>33.58</v>
      </c>
      <c r="Q74">
        <v>17.61</v>
      </c>
      <c r="R74">
        <v>20.67</v>
      </c>
      <c r="S74">
        <v>12.34</v>
      </c>
      <c r="T74">
        <v>15.76</v>
      </c>
      <c r="U74">
        <v>36.03</v>
      </c>
      <c r="V74">
        <v>39.200000000000003</v>
      </c>
      <c r="W74">
        <v>31.52</v>
      </c>
      <c r="X74">
        <v>46.26</v>
      </c>
      <c r="Y74">
        <v>49.55</v>
      </c>
      <c r="Z74">
        <v>0</v>
      </c>
      <c r="AA74">
        <v>2.78</v>
      </c>
      <c r="AB74">
        <v>4.47</v>
      </c>
      <c r="AC74">
        <v>60.91</v>
      </c>
      <c r="AD74">
        <v>49.26</v>
      </c>
      <c r="AE74">
        <v>25.44</v>
      </c>
      <c r="AF74">
        <v>0.87</v>
      </c>
      <c r="AG74">
        <v>68.7</v>
      </c>
      <c r="AH74">
        <v>16.809999999999999</v>
      </c>
      <c r="AI74">
        <v>0</v>
      </c>
    </row>
    <row r="75" spans="2:39" x14ac:dyDescent="0.45">
      <c r="B75" t="s">
        <v>1188</v>
      </c>
      <c r="C75" t="s">
        <v>1156</v>
      </c>
      <c r="D75" t="s">
        <v>1157</v>
      </c>
      <c r="E75" t="s">
        <v>924</v>
      </c>
      <c r="F75" t="s">
        <v>1195</v>
      </c>
      <c r="G75" t="s">
        <v>1196</v>
      </c>
      <c r="H75" t="s">
        <v>916</v>
      </c>
      <c r="I75" t="s">
        <v>1197</v>
      </c>
      <c r="J75" t="s">
        <v>1180</v>
      </c>
      <c r="K75" t="s">
        <v>1055</v>
      </c>
      <c r="L75">
        <v>0.71</v>
      </c>
      <c r="M75">
        <v>0</v>
      </c>
      <c r="N75" t="s">
        <v>1198</v>
      </c>
      <c r="O75">
        <v>38.340000000000003</v>
      </c>
      <c r="P75">
        <v>4</v>
      </c>
      <c r="Q75">
        <v>7.41</v>
      </c>
      <c r="R75">
        <v>0</v>
      </c>
      <c r="S75">
        <v>0</v>
      </c>
      <c r="T75">
        <v>18.850000000000001</v>
      </c>
      <c r="U75">
        <v>13.45</v>
      </c>
      <c r="V75">
        <v>30.64</v>
      </c>
      <c r="W75">
        <v>33.18</v>
      </c>
      <c r="X75">
        <v>47.89</v>
      </c>
      <c r="Y75">
        <v>34.200000000000003</v>
      </c>
      <c r="Z75">
        <v>34.67</v>
      </c>
      <c r="AA75">
        <v>28.94</v>
      </c>
      <c r="AB75">
        <v>45.58</v>
      </c>
      <c r="AC75">
        <v>42.04</v>
      </c>
      <c r="AD75">
        <v>0</v>
      </c>
      <c r="AE75">
        <v>0</v>
      </c>
      <c r="AF75">
        <v>0</v>
      </c>
      <c r="AG75">
        <v>1.73</v>
      </c>
      <c r="AH75">
        <v>51.4</v>
      </c>
      <c r="AI75">
        <v>4.22</v>
      </c>
      <c r="AJ75">
        <v>54.85</v>
      </c>
      <c r="AK75">
        <v>37.020000000000003</v>
      </c>
      <c r="AL75">
        <v>2.65</v>
      </c>
      <c r="AM75">
        <v>0</v>
      </c>
    </row>
    <row r="76" spans="2:39" x14ac:dyDescent="0.45">
      <c r="B76" t="s">
        <v>1188</v>
      </c>
      <c r="C76" t="s">
        <v>1156</v>
      </c>
      <c r="D76" t="s">
        <v>1157</v>
      </c>
      <c r="E76" t="s">
        <v>1199</v>
      </c>
      <c r="F76" t="s">
        <v>1200</v>
      </c>
      <c r="G76" t="s">
        <v>916</v>
      </c>
      <c r="H76" t="s">
        <v>1201</v>
      </c>
      <c r="I76" t="s">
        <v>1180</v>
      </c>
      <c r="J76" t="s">
        <v>1055</v>
      </c>
      <c r="K76">
        <v>1.24</v>
      </c>
      <c r="L76">
        <v>0</v>
      </c>
      <c r="M76" t="s">
        <v>1202</v>
      </c>
      <c r="N76">
        <v>24.66</v>
      </c>
      <c r="O76">
        <v>4</v>
      </c>
      <c r="P76">
        <v>3.7</v>
      </c>
      <c r="Q76">
        <v>0</v>
      </c>
      <c r="R76">
        <v>0</v>
      </c>
      <c r="S76">
        <v>15.41</v>
      </c>
      <c r="T76">
        <v>60.16</v>
      </c>
      <c r="U76">
        <v>4.93</v>
      </c>
      <c r="V76">
        <v>40.67</v>
      </c>
      <c r="W76">
        <v>59.06</v>
      </c>
      <c r="X76">
        <v>25.89</v>
      </c>
      <c r="Y76">
        <v>24.12</v>
      </c>
      <c r="Z76">
        <v>29.51</v>
      </c>
      <c r="AA76">
        <v>28.57</v>
      </c>
      <c r="AB76">
        <v>33.58</v>
      </c>
      <c r="AC76">
        <v>0</v>
      </c>
      <c r="AD76">
        <v>0</v>
      </c>
      <c r="AE76">
        <v>0</v>
      </c>
      <c r="AF76">
        <v>11.87</v>
      </c>
      <c r="AG76">
        <v>26.94</v>
      </c>
      <c r="AH76">
        <v>0</v>
      </c>
      <c r="AI76">
        <v>59.31</v>
      </c>
      <c r="AJ76">
        <v>60.81</v>
      </c>
      <c r="AK76">
        <v>7.08</v>
      </c>
      <c r="AL76">
        <v>0</v>
      </c>
    </row>
    <row r="77" spans="2:39" x14ac:dyDescent="0.45">
      <c r="B77" t="s">
        <v>1188</v>
      </c>
      <c r="C77" t="s">
        <v>1156</v>
      </c>
      <c r="D77" t="s">
        <v>1157</v>
      </c>
      <c r="E77" t="s">
        <v>989</v>
      </c>
      <c r="F77" t="s">
        <v>1203</v>
      </c>
      <c r="G77" t="s">
        <v>1085</v>
      </c>
      <c r="H77" t="s">
        <v>1055</v>
      </c>
      <c r="I77">
        <v>1.61</v>
      </c>
      <c r="J77">
        <v>0</v>
      </c>
      <c r="K77" t="s">
        <v>1204</v>
      </c>
      <c r="L77">
        <v>27.56</v>
      </c>
      <c r="M77">
        <v>4</v>
      </c>
      <c r="N77">
        <v>3.7</v>
      </c>
      <c r="O77">
        <v>0</v>
      </c>
      <c r="P77">
        <v>0</v>
      </c>
      <c r="Q77">
        <v>11.61</v>
      </c>
      <c r="R77">
        <v>13.05</v>
      </c>
      <c r="S77">
        <v>12.68</v>
      </c>
      <c r="T77">
        <v>41.37</v>
      </c>
      <c r="U77">
        <v>76.2</v>
      </c>
      <c r="V77">
        <v>24.54</v>
      </c>
      <c r="W77">
        <v>24.62</v>
      </c>
      <c r="X77">
        <v>26.65</v>
      </c>
      <c r="Y77">
        <v>25.17</v>
      </c>
      <c r="Z77">
        <v>50.84</v>
      </c>
      <c r="AA77">
        <v>0</v>
      </c>
      <c r="AB77">
        <v>0</v>
      </c>
      <c r="AC77">
        <v>0</v>
      </c>
      <c r="AD77">
        <v>5.51</v>
      </c>
      <c r="AE77">
        <v>42.81</v>
      </c>
      <c r="AF77">
        <v>0</v>
      </c>
      <c r="AG77">
        <v>8.5399999999999991</v>
      </c>
      <c r="AH77">
        <v>3.76</v>
      </c>
      <c r="AI77">
        <v>6.19</v>
      </c>
      <c r="AJ77">
        <v>0</v>
      </c>
    </row>
    <row r="78" spans="2:39" x14ac:dyDescent="0.45">
      <c r="B78" t="s">
        <v>1205</v>
      </c>
      <c r="C78" t="s">
        <v>1206</v>
      </c>
      <c r="D78" t="s">
        <v>1207</v>
      </c>
      <c r="E78" t="s">
        <v>989</v>
      </c>
      <c r="F78" t="s">
        <v>1208</v>
      </c>
      <c r="G78" t="s">
        <v>1085</v>
      </c>
      <c r="H78" t="s">
        <v>1055</v>
      </c>
      <c r="I78">
        <v>2.68</v>
      </c>
      <c r="J78">
        <v>0</v>
      </c>
      <c r="K78" t="s">
        <v>1209</v>
      </c>
      <c r="L78">
        <v>45.43</v>
      </c>
      <c r="M78">
        <v>4</v>
      </c>
      <c r="N78">
        <v>7.41</v>
      </c>
      <c r="O78">
        <v>0</v>
      </c>
      <c r="P78">
        <v>0</v>
      </c>
      <c r="Q78">
        <v>14.67</v>
      </c>
      <c r="R78">
        <v>27.9</v>
      </c>
      <c r="S78">
        <v>21.53</v>
      </c>
      <c r="T78">
        <v>25.71</v>
      </c>
      <c r="U78">
        <v>15.4</v>
      </c>
      <c r="V78">
        <v>0</v>
      </c>
      <c r="W78">
        <v>38.19</v>
      </c>
      <c r="X78">
        <v>38.97</v>
      </c>
      <c r="Y78">
        <v>63.95</v>
      </c>
      <c r="Z78">
        <v>10.79</v>
      </c>
      <c r="AA78">
        <v>0</v>
      </c>
      <c r="AB78">
        <v>5.56</v>
      </c>
      <c r="AC78">
        <v>14.46</v>
      </c>
      <c r="AD78">
        <v>31.86</v>
      </c>
      <c r="AE78">
        <v>55.04</v>
      </c>
      <c r="AF78">
        <v>66.89</v>
      </c>
      <c r="AG78">
        <v>1.99</v>
      </c>
      <c r="AH78">
        <v>9.8800000000000008</v>
      </c>
      <c r="AI78">
        <v>35.4</v>
      </c>
      <c r="AJ78">
        <v>0</v>
      </c>
    </row>
    <row r="79" spans="2:39" x14ac:dyDescent="0.45">
      <c r="B79" t="s">
        <v>1210</v>
      </c>
      <c r="C79" t="s">
        <v>1113</v>
      </c>
      <c r="D79" t="s">
        <v>1211</v>
      </c>
      <c r="E79" t="s">
        <v>916</v>
      </c>
      <c r="F79" t="s">
        <v>1212</v>
      </c>
      <c r="G79" t="s">
        <v>1043</v>
      </c>
      <c r="H79" t="s">
        <v>1055</v>
      </c>
      <c r="I79">
        <v>2.06</v>
      </c>
      <c r="J79">
        <v>4.6500000000000004</v>
      </c>
      <c r="K79" t="s">
        <v>1213</v>
      </c>
      <c r="L79">
        <v>61.86</v>
      </c>
      <c r="M79">
        <v>16</v>
      </c>
      <c r="N79">
        <v>51.85</v>
      </c>
      <c r="O79">
        <v>9.69</v>
      </c>
      <c r="P79">
        <v>0</v>
      </c>
      <c r="Q79">
        <v>35.97</v>
      </c>
      <c r="R79">
        <v>13.32</v>
      </c>
      <c r="S79">
        <v>29.04</v>
      </c>
      <c r="T79">
        <v>26.13</v>
      </c>
      <c r="U79">
        <v>29.34</v>
      </c>
      <c r="V79">
        <v>30.59</v>
      </c>
      <c r="W79">
        <v>29.15</v>
      </c>
      <c r="X79">
        <v>32.950000000000003</v>
      </c>
      <c r="Y79">
        <v>48.64</v>
      </c>
      <c r="Z79">
        <v>51.53</v>
      </c>
      <c r="AA79">
        <v>9.4499999999999993</v>
      </c>
      <c r="AB79">
        <v>5.56</v>
      </c>
      <c r="AC79">
        <v>2.5</v>
      </c>
      <c r="AD79">
        <v>9.9700000000000006</v>
      </c>
      <c r="AE79">
        <v>51.07</v>
      </c>
      <c r="AF79">
        <v>25.18</v>
      </c>
      <c r="AG79">
        <v>5.8</v>
      </c>
      <c r="AH79">
        <v>11.39</v>
      </c>
      <c r="AI79">
        <v>33.630000000000003</v>
      </c>
      <c r="AJ79">
        <v>0</v>
      </c>
    </row>
    <row r="80" spans="2:39" x14ac:dyDescent="0.45">
      <c r="B80" t="s">
        <v>1210</v>
      </c>
      <c r="C80" t="s">
        <v>1214</v>
      </c>
      <c r="D80" t="s">
        <v>1113</v>
      </c>
      <c r="E80" t="s">
        <v>1114</v>
      </c>
      <c r="F80" t="s">
        <v>1215</v>
      </c>
      <c r="G80" t="s">
        <v>916</v>
      </c>
      <c r="H80" t="s">
        <v>1216</v>
      </c>
      <c r="I80" t="s">
        <v>1043</v>
      </c>
      <c r="J80" t="s">
        <v>1055</v>
      </c>
      <c r="K80">
        <v>2.77</v>
      </c>
      <c r="L80">
        <v>0</v>
      </c>
      <c r="M80" t="s">
        <v>1217</v>
      </c>
      <c r="N80">
        <v>88.89</v>
      </c>
      <c r="O80">
        <v>12</v>
      </c>
      <c r="P80">
        <v>18.52</v>
      </c>
      <c r="Q80">
        <v>0</v>
      </c>
      <c r="R80">
        <v>0</v>
      </c>
      <c r="S80">
        <v>3.58</v>
      </c>
      <c r="T80">
        <v>7.78</v>
      </c>
      <c r="U80">
        <v>50.1</v>
      </c>
      <c r="V80">
        <v>56.09</v>
      </c>
      <c r="W80">
        <v>5.23</v>
      </c>
      <c r="X80">
        <v>5.07</v>
      </c>
      <c r="Y80">
        <v>18.09</v>
      </c>
      <c r="Z80">
        <v>21.78</v>
      </c>
      <c r="AA80">
        <v>22.79</v>
      </c>
      <c r="AB80">
        <v>54.95</v>
      </c>
      <c r="AC80">
        <v>6.3</v>
      </c>
      <c r="AD80">
        <v>2.78</v>
      </c>
      <c r="AE80">
        <v>0.51</v>
      </c>
      <c r="AF80">
        <v>14.67</v>
      </c>
      <c r="AG80">
        <v>20.5</v>
      </c>
      <c r="AH80">
        <v>3.77</v>
      </c>
      <c r="AI80">
        <v>13.83</v>
      </c>
      <c r="AJ80">
        <v>13.5</v>
      </c>
      <c r="AK80">
        <v>18.579999999999998</v>
      </c>
      <c r="AL80">
        <v>0</v>
      </c>
    </row>
    <row r="81" spans="2:39" x14ac:dyDescent="0.45">
      <c r="B81" t="s">
        <v>1210</v>
      </c>
      <c r="C81" t="s">
        <v>1218</v>
      </c>
      <c r="D81" t="s">
        <v>916</v>
      </c>
      <c r="E81" t="s">
        <v>1219</v>
      </c>
      <c r="F81" t="s">
        <v>1043</v>
      </c>
      <c r="G81" t="s">
        <v>1055</v>
      </c>
      <c r="H81">
        <v>1.29</v>
      </c>
      <c r="I81">
        <v>0</v>
      </c>
      <c r="J81" t="s">
        <v>1220</v>
      </c>
      <c r="K81">
        <v>70.72</v>
      </c>
      <c r="L81">
        <v>16</v>
      </c>
      <c r="M81">
        <v>22.22</v>
      </c>
      <c r="N81">
        <v>16.2</v>
      </c>
      <c r="O81">
        <v>0</v>
      </c>
      <c r="P81">
        <v>44.46</v>
      </c>
      <c r="Q81">
        <v>27.01</v>
      </c>
      <c r="R81">
        <v>21.51</v>
      </c>
      <c r="S81">
        <v>35.04</v>
      </c>
      <c r="T81">
        <v>31.07</v>
      </c>
      <c r="U81">
        <v>18.73</v>
      </c>
      <c r="V81">
        <v>19.600000000000001</v>
      </c>
      <c r="W81">
        <v>32.380000000000003</v>
      </c>
      <c r="X81">
        <v>27.55</v>
      </c>
      <c r="Y81">
        <v>53.89</v>
      </c>
      <c r="Z81">
        <v>0</v>
      </c>
      <c r="AA81">
        <v>0</v>
      </c>
      <c r="AB81">
        <v>0</v>
      </c>
      <c r="AC81">
        <v>8.8800000000000008</v>
      </c>
      <c r="AD81">
        <v>30.41</v>
      </c>
      <c r="AE81">
        <v>16.399999999999999</v>
      </c>
      <c r="AF81">
        <v>5.03</v>
      </c>
      <c r="AG81">
        <v>28.4</v>
      </c>
      <c r="AH81">
        <v>4.42</v>
      </c>
      <c r="AI81">
        <v>0</v>
      </c>
    </row>
    <row r="82" spans="2:39" x14ac:dyDescent="0.45">
      <c r="B82" t="s">
        <v>1221</v>
      </c>
      <c r="C82" t="s">
        <v>1206</v>
      </c>
      <c r="D82" t="s">
        <v>1222</v>
      </c>
      <c r="E82" t="s">
        <v>916</v>
      </c>
      <c r="F82" t="s">
        <v>1223</v>
      </c>
      <c r="G82" t="s">
        <v>1180</v>
      </c>
      <c r="H82" t="s">
        <v>1055</v>
      </c>
      <c r="I82">
        <v>3.35</v>
      </c>
      <c r="J82">
        <v>0</v>
      </c>
      <c r="K82" t="s">
        <v>1224</v>
      </c>
      <c r="L82">
        <v>15.66</v>
      </c>
      <c r="M82">
        <v>0</v>
      </c>
      <c r="N82">
        <v>3.7</v>
      </c>
      <c r="O82">
        <v>0</v>
      </c>
      <c r="P82">
        <v>0</v>
      </c>
      <c r="Q82">
        <v>25.8</v>
      </c>
      <c r="R82">
        <v>15.44</v>
      </c>
      <c r="S82">
        <v>47.93</v>
      </c>
      <c r="T82">
        <v>0</v>
      </c>
      <c r="U82">
        <v>47.82</v>
      </c>
      <c r="V82">
        <v>33.54</v>
      </c>
      <c r="W82">
        <v>55.78</v>
      </c>
      <c r="X82">
        <v>44.7</v>
      </c>
      <c r="Y82">
        <v>72.11</v>
      </c>
      <c r="Z82">
        <v>5.95</v>
      </c>
      <c r="AA82">
        <v>11.02</v>
      </c>
      <c r="AB82">
        <v>19.440000000000001</v>
      </c>
      <c r="AC82">
        <v>5.25</v>
      </c>
      <c r="AD82">
        <v>13.49</v>
      </c>
      <c r="AE82">
        <v>28.93</v>
      </c>
      <c r="AF82">
        <v>4.46</v>
      </c>
      <c r="AG82">
        <v>4.33</v>
      </c>
      <c r="AH82">
        <v>3.44</v>
      </c>
      <c r="AI82">
        <v>51.33</v>
      </c>
      <c r="AJ82">
        <v>0</v>
      </c>
    </row>
    <row r="83" spans="2:39" x14ac:dyDescent="0.45">
      <c r="B83" t="s">
        <v>1225</v>
      </c>
      <c r="C83" t="s">
        <v>1226</v>
      </c>
      <c r="D83" t="s">
        <v>916</v>
      </c>
      <c r="E83" t="s">
        <v>1227</v>
      </c>
      <c r="F83" t="s">
        <v>1085</v>
      </c>
      <c r="G83" t="s">
        <v>1055</v>
      </c>
      <c r="H83">
        <v>2.8</v>
      </c>
      <c r="I83">
        <v>0</v>
      </c>
      <c r="J83" t="s">
        <v>1228</v>
      </c>
      <c r="K83">
        <v>46.44</v>
      </c>
      <c r="L83">
        <v>0</v>
      </c>
      <c r="M83">
        <v>14.81</v>
      </c>
      <c r="N83">
        <v>0</v>
      </c>
      <c r="O83">
        <v>0</v>
      </c>
      <c r="P83">
        <v>14.94</v>
      </c>
      <c r="Q83">
        <v>26</v>
      </c>
      <c r="R83">
        <v>40.159999999999997</v>
      </c>
      <c r="S83">
        <v>9.59</v>
      </c>
      <c r="T83">
        <v>9.49</v>
      </c>
      <c r="U83">
        <v>28.3</v>
      </c>
      <c r="V83">
        <v>33.67</v>
      </c>
      <c r="W83">
        <v>26.65</v>
      </c>
      <c r="X83">
        <v>47.62</v>
      </c>
      <c r="Y83">
        <v>45.78</v>
      </c>
      <c r="Z83">
        <v>6.3</v>
      </c>
      <c r="AA83">
        <v>0</v>
      </c>
      <c r="AB83">
        <v>0</v>
      </c>
      <c r="AC83">
        <v>3.52</v>
      </c>
      <c r="AD83">
        <v>43.31</v>
      </c>
      <c r="AE83">
        <v>14.04</v>
      </c>
      <c r="AF83">
        <v>18.93</v>
      </c>
      <c r="AG83">
        <v>38.71</v>
      </c>
      <c r="AH83">
        <v>6.19</v>
      </c>
      <c r="AI83">
        <v>0</v>
      </c>
    </row>
    <row r="84" spans="2:39" x14ac:dyDescent="0.45">
      <c r="B84" t="s">
        <v>1225</v>
      </c>
      <c r="C84" t="s">
        <v>1229</v>
      </c>
      <c r="D84" t="s">
        <v>916</v>
      </c>
      <c r="E84" t="s">
        <v>1230</v>
      </c>
      <c r="F84" t="s">
        <v>1180</v>
      </c>
      <c r="G84" t="s">
        <v>1055</v>
      </c>
      <c r="H84">
        <v>1.04</v>
      </c>
      <c r="I84">
        <v>0</v>
      </c>
      <c r="J84" t="s">
        <v>1231</v>
      </c>
      <c r="K84">
        <v>42.91</v>
      </c>
      <c r="L84">
        <v>4</v>
      </c>
      <c r="M84">
        <v>3.7</v>
      </c>
      <c r="N84">
        <v>0</v>
      </c>
      <c r="O84">
        <v>0</v>
      </c>
      <c r="P84">
        <v>0</v>
      </c>
      <c r="Q84">
        <v>0.76</v>
      </c>
      <c r="R84">
        <v>28.18</v>
      </c>
      <c r="S84">
        <v>8.41</v>
      </c>
      <c r="T84">
        <v>6.47</v>
      </c>
      <c r="U84">
        <v>1.99</v>
      </c>
      <c r="V84">
        <v>15.08</v>
      </c>
      <c r="W84">
        <v>21.49</v>
      </c>
      <c r="X84">
        <v>0</v>
      </c>
      <c r="Y84">
        <v>48.34</v>
      </c>
      <c r="Z84">
        <v>6.3</v>
      </c>
      <c r="AA84">
        <v>0</v>
      </c>
      <c r="AB84">
        <v>0</v>
      </c>
      <c r="AC84">
        <v>40.71</v>
      </c>
      <c r="AD84">
        <v>18.350000000000001</v>
      </c>
      <c r="AE84">
        <v>0</v>
      </c>
      <c r="AF84">
        <v>0</v>
      </c>
      <c r="AG84">
        <v>0</v>
      </c>
      <c r="AH84">
        <v>18.579999999999998</v>
      </c>
      <c r="AI84">
        <v>0</v>
      </c>
    </row>
    <row r="85" spans="2:39" x14ac:dyDescent="0.45">
      <c r="B85" t="s">
        <v>1225</v>
      </c>
      <c r="C85" t="s">
        <v>1232</v>
      </c>
      <c r="D85" t="s">
        <v>1233</v>
      </c>
      <c r="E85" t="s">
        <v>924</v>
      </c>
      <c r="F85" t="s">
        <v>1234</v>
      </c>
      <c r="G85" t="s">
        <v>1235</v>
      </c>
      <c r="H85" t="s">
        <v>916</v>
      </c>
      <c r="I85" t="s">
        <v>1236</v>
      </c>
      <c r="J85" t="s">
        <v>1055</v>
      </c>
      <c r="K85" t="s">
        <v>1055</v>
      </c>
      <c r="L85">
        <v>2.27</v>
      </c>
      <c r="M85">
        <v>0</v>
      </c>
      <c r="N85" t="s">
        <v>1237</v>
      </c>
      <c r="O85">
        <v>20.63</v>
      </c>
      <c r="P85">
        <v>4</v>
      </c>
      <c r="Q85">
        <v>11.11</v>
      </c>
      <c r="R85">
        <v>3.84</v>
      </c>
      <c r="S85">
        <v>0</v>
      </c>
      <c r="T85">
        <v>18.78</v>
      </c>
      <c r="U85">
        <v>7.3</v>
      </c>
      <c r="V85">
        <v>9.43</v>
      </c>
      <c r="W85">
        <v>16.68</v>
      </c>
      <c r="X85">
        <v>46.45</v>
      </c>
      <c r="Y85">
        <v>14.87</v>
      </c>
      <c r="Z85">
        <v>21.61</v>
      </c>
      <c r="AA85">
        <v>23.21</v>
      </c>
      <c r="AB85">
        <v>70.41</v>
      </c>
      <c r="AC85">
        <v>64.540000000000006</v>
      </c>
      <c r="AD85">
        <v>0</v>
      </c>
      <c r="AE85">
        <v>8.33</v>
      </c>
      <c r="AF85">
        <v>7.85</v>
      </c>
      <c r="AG85">
        <v>1.05</v>
      </c>
      <c r="AH85">
        <v>17.52</v>
      </c>
      <c r="AI85">
        <v>7.68</v>
      </c>
      <c r="AJ85">
        <v>100</v>
      </c>
      <c r="AK85">
        <v>52.87</v>
      </c>
      <c r="AL85">
        <v>2.65</v>
      </c>
      <c r="AM85">
        <v>0</v>
      </c>
    </row>
    <row r="86" spans="2:39" x14ac:dyDescent="0.45">
      <c r="B86" t="s">
        <v>1225</v>
      </c>
      <c r="C86" t="s">
        <v>1238</v>
      </c>
      <c r="D86" t="s">
        <v>916</v>
      </c>
      <c r="E86" t="s">
        <v>1239</v>
      </c>
      <c r="F86" t="s">
        <v>1055</v>
      </c>
      <c r="G86" t="s">
        <v>1055</v>
      </c>
      <c r="H86">
        <v>0.88</v>
      </c>
      <c r="I86">
        <v>0</v>
      </c>
      <c r="J86" t="s">
        <v>1240</v>
      </c>
      <c r="K86">
        <v>54.18</v>
      </c>
      <c r="L86">
        <v>4</v>
      </c>
      <c r="M86">
        <v>11.11</v>
      </c>
      <c r="N86">
        <v>8.34</v>
      </c>
      <c r="O86">
        <v>0</v>
      </c>
      <c r="P86">
        <v>33.299999999999997</v>
      </c>
      <c r="Q86">
        <v>14.23</v>
      </c>
      <c r="R86">
        <v>10.16</v>
      </c>
      <c r="S86">
        <v>8.2200000000000006</v>
      </c>
      <c r="T86">
        <v>35.79</v>
      </c>
      <c r="U86">
        <v>27.18</v>
      </c>
      <c r="V86">
        <v>31.66</v>
      </c>
      <c r="W86">
        <v>36.1</v>
      </c>
      <c r="X86">
        <v>32.65</v>
      </c>
      <c r="Y86">
        <v>44.88</v>
      </c>
      <c r="Z86">
        <v>0</v>
      </c>
      <c r="AA86">
        <v>2.78</v>
      </c>
      <c r="AB86">
        <v>0.21</v>
      </c>
      <c r="AC86">
        <v>2.2799999999999998</v>
      </c>
      <c r="AD86">
        <v>51.74</v>
      </c>
      <c r="AE86">
        <v>32.76</v>
      </c>
      <c r="AF86">
        <v>1.43</v>
      </c>
      <c r="AG86">
        <v>35.11</v>
      </c>
      <c r="AH86">
        <v>4.42</v>
      </c>
      <c r="AI86">
        <v>0</v>
      </c>
    </row>
    <row r="87" spans="2:39" x14ac:dyDescent="0.45">
      <c r="B87" t="s">
        <v>1225</v>
      </c>
      <c r="C87" t="s">
        <v>1156</v>
      </c>
      <c r="D87" t="s">
        <v>1157</v>
      </c>
      <c r="E87" t="s">
        <v>924</v>
      </c>
      <c r="F87" t="s">
        <v>1241</v>
      </c>
      <c r="G87" t="s">
        <v>1242</v>
      </c>
      <c r="H87" t="s">
        <v>916</v>
      </c>
      <c r="I87" t="s">
        <v>1243</v>
      </c>
      <c r="J87" t="s">
        <v>1085</v>
      </c>
      <c r="K87" t="s">
        <v>1055</v>
      </c>
      <c r="L87">
        <v>0.95</v>
      </c>
      <c r="M87">
        <v>0</v>
      </c>
      <c r="N87" t="s">
        <v>1244</v>
      </c>
      <c r="O87">
        <v>21.88</v>
      </c>
      <c r="P87">
        <v>4</v>
      </c>
      <c r="Q87">
        <v>3.7</v>
      </c>
      <c r="R87">
        <v>5.33</v>
      </c>
      <c r="S87">
        <v>13.47</v>
      </c>
      <c r="T87">
        <v>18.940000000000001</v>
      </c>
      <c r="U87">
        <v>9.58</v>
      </c>
      <c r="V87">
        <v>10</v>
      </c>
      <c r="W87">
        <v>35.54</v>
      </c>
      <c r="X87">
        <v>97.01</v>
      </c>
      <c r="Y87">
        <v>20.54</v>
      </c>
      <c r="Z87">
        <v>24.62</v>
      </c>
      <c r="AA87">
        <v>26.65</v>
      </c>
      <c r="AB87">
        <v>36.049999999999997</v>
      </c>
      <c r="AC87">
        <v>37.130000000000003</v>
      </c>
      <c r="AD87">
        <v>4.72</v>
      </c>
      <c r="AE87">
        <v>0</v>
      </c>
      <c r="AF87">
        <v>0</v>
      </c>
      <c r="AG87">
        <v>3.63</v>
      </c>
      <c r="AH87">
        <v>34.380000000000003</v>
      </c>
      <c r="AI87">
        <v>0</v>
      </c>
      <c r="AJ87">
        <v>17.98</v>
      </c>
      <c r="AK87">
        <v>25.92</v>
      </c>
      <c r="AL87">
        <v>5.31</v>
      </c>
      <c r="AM87">
        <v>0</v>
      </c>
    </row>
    <row r="88" spans="2:39" x14ac:dyDescent="0.45">
      <c r="B88" t="s">
        <v>1245</v>
      </c>
      <c r="C88" t="s">
        <v>1080</v>
      </c>
      <c r="D88" t="s">
        <v>1246</v>
      </c>
      <c r="E88" t="s">
        <v>916</v>
      </c>
      <c r="F88" t="s">
        <v>1247</v>
      </c>
      <c r="G88" t="s">
        <v>1085</v>
      </c>
      <c r="H88" t="s">
        <v>1055</v>
      </c>
      <c r="I88">
        <v>0.54</v>
      </c>
      <c r="J88">
        <v>0</v>
      </c>
      <c r="K88" t="s">
        <v>1248</v>
      </c>
      <c r="L88">
        <v>87.07</v>
      </c>
      <c r="M88">
        <v>4</v>
      </c>
      <c r="N88">
        <v>7.41</v>
      </c>
      <c r="O88">
        <v>0</v>
      </c>
      <c r="P88">
        <v>0</v>
      </c>
      <c r="Q88">
        <v>0</v>
      </c>
      <c r="R88">
        <v>6.67</v>
      </c>
      <c r="S88">
        <v>23.59</v>
      </c>
      <c r="T88">
        <v>43.6</v>
      </c>
      <c r="U88">
        <v>0</v>
      </c>
      <c r="V88">
        <v>0</v>
      </c>
      <c r="W88">
        <v>0</v>
      </c>
      <c r="X88">
        <v>0</v>
      </c>
      <c r="Y88">
        <v>0</v>
      </c>
      <c r="Z88">
        <v>94.89</v>
      </c>
      <c r="AA88">
        <v>0</v>
      </c>
      <c r="AB88">
        <v>0</v>
      </c>
      <c r="AC88">
        <v>0</v>
      </c>
      <c r="AD88">
        <v>22.35</v>
      </c>
      <c r="AE88">
        <v>0</v>
      </c>
      <c r="AF88">
        <v>0</v>
      </c>
      <c r="AG88">
        <v>8.5299999999999994</v>
      </c>
      <c r="AH88">
        <v>6.77</v>
      </c>
      <c r="AI88">
        <v>7.08</v>
      </c>
      <c r="AJ88">
        <v>0</v>
      </c>
    </row>
    <row r="89" spans="2:39" x14ac:dyDescent="0.45">
      <c r="B89" t="s">
        <v>1249</v>
      </c>
      <c r="C89" t="s">
        <v>1080</v>
      </c>
      <c r="D89" t="s">
        <v>924</v>
      </c>
      <c r="E89" t="s">
        <v>1250</v>
      </c>
      <c r="F89" t="s">
        <v>1251</v>
      </c>
      <c r="G89" t="s">
        <v>1252</v>
      </c>
      <c r="H89" t="s">
        <v>1180</v>
      </c>
      <c r="I89" t="s">
        <v>1055</v>
      </c>
      <c r="J89">
        <v>3.97</v>
      </c>
      <c r="K89">
        <v>0</v>
      </c>
      <c r="L89" t="s">
        <v>1253</v>
      </c>
      <c r="M89">
        <v>31.8</v>
      </c>
      <c r="N89">
        <v>4</v>
      </c>
      <c r="O89">
        <v>11.11</v>
      </c>
      <c r="P89">
        <v>0</v>
      </c>
      <c r="Q89">
        <v>0</v>
      </c>
      <c r="R89">
        <v>22.35</v>
      </c>
      <c r="S89">
        <v>3.79</v>
      </c>
      <c r="T89">
        <v>33.369999999999997</v>
      </c>
      <c r="U89">
        <v>8.57</v>
      </c>
      <c r="V89">
        <v>19.399999999999999</v>
      </c>
      <c r="W89">
        <v>25.89</v>
      </c>
      <c r="X89">
        <v>29.65</v>
      </c>
      <c r="Y89">
        <v>28.94</v>
      </c>
      <c r="Z89">
        <v>35.03</v>
      </c>
      <c r="AA89">
        <v>27.55</v>
      </c>
      <c r="AB89">
        <v>6.3</v>
      </c>
      <c r="AC89">
        <v>13.89</v>
      </c>
      <c r="AD89">
        <v>8.06</v>
      </c>
      <c r="AE89">
        <v>67.63</v>
      </c>
      <c r="AF89">
        <v>47.6</v>
      </c>
      <c r="AG89">
        <v>7.41</v>
      </c>
      <c r="AH89">
        <v>8.4</v>
      </c>
      <c r="AI89">
        <v>13.59</v>
      </c>
      <c r="AJ89">
        <v>38.049999999999997</v>
      </c>
      <c r="AK89">
        <v>0</v>
      </c>
    </row>
    <row r="90" spans="2:39" x14ac:dyDescent="0.45">
      <c r="B90" t="s">
        <v>1254</v>
      </c>
      <c r="C90" t="s">
        <v>1255</v>
      </c>
      <c r="D90" t="s">
        <v>1256</v>
      </c>
      <c r="E90" t="s">
        <v>989</v>
      </c>
      <c r="F90" t="s">
        <v>1257</v>
      </c>
      <c r="G90" t="s">
        <v>1085</v>
      </c>
      <c r="H90" t="s">
        <v>1055</v>
      </c>
      <c r="I90">
        <v>1.08</v>
      </c>
      <c r="J90">
        <v>0</v>
      </c>
      <c r="K90" t="s">
        <v>1258</v>
      </c>
      <c r="L90">
        <v>100</v>
      </c>
      <c r="M90">
        <v>4</v>
      </c>
      <c r="N90">
        <v>3.7</v>
      </c>
      <c r="O90">
        <v>0</v>
      </c>
      <c r="P90">
        <v>0</v>
      </c>
      <c r="Q90">
        <v>0</v>
      </c>
      <c r="R90">
        <v>5.25</v>
      </c>
      <c r="S90">
        <v>0</v>
      </c>
      <c r="T90">
        <v>0</v>
      </c>
      <c r="U90">
        <v>4.49</v>
      </c>
      <c r="V90">
        <v>0.36</v>
      </c>
      <c r="W90">
        <v>2.0099999999999998</v>
      </c>
      <c r="X90">
        <v>16.05</v>
      </c>
      <c r="Y90">
        <v>0</v>
      </c>
      <c r="Z90">
        <v>100</v>
      </c>
      <c r="AA90">
        <v>0</v>
      </c>
      <c r="AB90">
        <v>0</v>
      </c>
      <c r="AC90">
        <v>0</v>
      </c>
      <c r="AD90">
        <v>10.64</v>
      </c>
      <c r="AE90">
        <v>0</v>
      </c>
      <c r="AF90">
        <v>0</v>
      </c>
      <c r="AG90">
        <v>0</v>
      </c>
      <c r="AH90">
        <v>0</v>
      </c>
      <c r="AI90">
        <v>6.19</v>
      </c>
      <c r="AJ90">
        <v>0</v>
      </c>
    </row>
    <row r="91" spans="2:39" x14ac:dyDescent="0.45">
      <c r="B91" t="s">
        <v>1259</v>
      </c>
      <c r="C91" t="s">
        <v>1260</v>
      </c>
      <c r="D91" t="s">
        <v>924</v>
      </c>
      <c r="E91" t="s">
        <v>1261</v>
      </c>
      <c r="F91" t="s">
        <v>1262</v>
      </c>
      <c r="G91" t="s">
        <v>916</v>
      </c>
      <c r="H91" t="s">
        <v>1263</v>
      </c>
      <c r="I91" t="s">
        <v>1085</v>
      </c>
      <c r="J91" t="s">
        <v>1055</v>
      </c>
      <c r="K91">
        <v>0.22</v>
      </c>
      <c r="L91">
        <v>0</v>
      </c>
      <c r="M91" t="s">
        <v>1264</v>
      </c>
      <c r="N91">
        <v>59.07</v>
      </c>
      <c r="O91">
        <v>8</v>
      </c>
      <c r="P91">
        <v>22.22</v>
      </c>
      <c r="Q91">
        <v>18.63</v>
      </c>
      <c r="R91">
        <v>0</v>
      </c>
      <c r="S91">
        <v>27.63</v>
      </c>
      <c r="T91">
        <v>14.83</v>
      </c>
      <c r="U91">
        <v>35.07</v>
      </c>
      <c r="V91">
        <v>14.64</v>
      </c>
      <c r="W91">
        <v>30.12</v>
      </c>
      <c r="X91">
        <v>23.25</v>
      </c>
      <c r="Y91">
        <v>30.65</v>
      </c>
      <c r="Z91">
        <v>31.23</v>
      </c>
      <c r="AA91">
        <v>31.63</v>
      </c>
      <c r="AB91">
        <v>53.62</v>
      </c>
      <c r="AC91">
        <v>0</v>
      </c>
      <c r="AD91">
        <v>0</v>
      </c>
      <c r="AE91">
        <v>0</v>
      </c>
      <c r="AF91">
        <v>4.25</v>
      </c>
      <c r="AG91">
        <v>47.11</v>
      </c>
      <c r="AH91">
        <v>16.18</v>
      </c>
      <c r="AI91">
        <v>7.46</v>
      </c>
      <c r="AJ91">
        <v>8.2899999999999991</v>
      </c>
      <c r="AK91">
        <v>7.08</v>
      </c>
      <c r="AL91">
        <v>0</v>
      </c>
    </row>
    <row r="92" spans="2:39" x14ac:dyDescent="0.45">
      <c r="B92" t="s">
        <v>1265</v>
      </c>
      <c r="C92" t="s">
        <v>1206</v>
      </c>
      <c r="D92" t="s">
        <v>1266</v>
      </c>
      <c r="E92" t="s">
        <v>916</v>
      </c>
      <c r="F92" t="s">
        <v>1267</v>
      </c>
      <c r="G92" t="s">
        <v>1055</v>
      </c>
      <c r="H92" t="s">
        <v>1055</v>
      </c>
      <c r="I92">
        <v>0.45</v>
      </c>
      <c r="J92">
        <v>0</v>
      </c>
      <c r="K92" t="s">
        <v>1268</v>
      </c>
      <c r="L92">
        <v>45.53</v>
      </c>
      <c r="M92">
        <v>0</v>
      </c>
      <c r="N92">
        <v>3.7</v>
      </c>
      <c r="O92">
        <v>0</v>
      </c>
      <c r="P92">
        <v>0</v>
      </c>
      <c r="Q92">
        <v>0</v>
      </c>
      <c r="R92">
        <v>10.81</v>
      </c>
      <c r="S92">
        <v>82.67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19.39</v>
      </c>
      <c r="AA92">
        <v>0</v>
      </c>
      <c r="AB92">
        <v>22.22</v>
      </c>
      <c r="AC92">
        <v>39.47</v>
      </c>
      <c r="AD92">
        <v>51.81</v>
      </c>
      <c r="AE92">
        <v>0</v>
      </c>
      <c r="AF92">
        <v>83.9</v>
      </c>
      <c r="AG92">
        <v>5.25</v>
      </c>
      <c r="AH92">
        <v>16.66</v>
      </c>
      <c r="AI92">
        <v>6.19</v>
      </c>
      <c r="AJ92">
        <v>0</v>
      </c>
    </row>
    <row r="93" spans="2:39" x14ac:dyDescent="0.45">
      <c r="B93" t="s">
        <v>1269</v>
      </c>
      <c r="C93" t="s">
        <v>1270</v>
      </c>
      <c r="D93" t="s">
        <v>916</v>
      </c>
      <c r="E93" t="s">
        <v>1271</v>
      </c>
      <c r="F93" t="s">
        <v>1180</v>
      </c>
      <c r="G93" t="s">
        <v>1055</v>
      </c>
      <c r="H93">
        <v>1.31</v>
      </c>
      <c r="I93">
        <v>0</v>
      </c>
      <c r="J93" t="s">
        <v>1272</v>
      </c>
      <c r="K93">
        <v>16.440000000000001</v>
      </c>
      <c r="L93">
        <v>0</v>
      </c>
      <c r="M93">
        <v>3.7</v>
      </c>
      <c r="N93">
        <v>0</v>
      </c>
      <c r="O93">
        <v>0</v>
      </c>
      <c r="P93">
        <v>3.68</v>
      </c>
      <c r="Q93">
        <v>8.26</v>
      </c>
      <c r="R93">
        <v>13.98</v>
      </c>
      <c r="S93">
        <v>0</v>
      </c>
      <c r="T93">
        <v>6.7</v>
      </c>
      <c r="U93">
        <v>9.75</v>
      </c>
      <c r="V93">
        <v>14.07</v>
      </c>
      <c r="W93">
        <v>24.93</v>
      </c>
      <c r="X93">
        <v>47.62</v>
      </c>
      <c r="Y93">
        <v>13.03</v>
      </c>
      <c r="Z93">
        <v>0</v>
      </c>
      <c r="AA93">
        <v>11.11</v>
      </c>
      <c r="AB93">
        <v>2.2000000000000002</v>
      </c>
      <c r="AC93">
        <v>18.809999999999999</v>
      </c>
      <c r="AD93">
        <v>14.05</v>
      </c>
      <c r="AE93">
        <v>9.94</v>
      </c>
      <c r="AF93">
        <v>3.86</v>
      </c>
      <c r="AG93">
        <v>8.06</v>
      </c>
      <c r="AH93">
        <v>39.82</v>
      </c>
      <c r="AI93">
        <v>0</v>
      </c>
    </row>
    <row r="94" spans="2:39" x14ac:dyDescent="0.45">
      <c r="B94" t="s">
        <v>1269</v>
      </c>
      <c r="C94" t="s">
        <v>924</v>
      </c>
      <c r="D94" t="s">
        <v>1273</v>
      </c>
      <c r="E94" t="s">
        <v>1082</v>
      </c>
      <c r="F94" t="s">
        <v>1274</v>
      </c>
      <c r="G94" t="s">
        <v>916</v>
      </c>
      <c r="H94" t="s">
        <v>1275</v>
      </c>
      <c r="I94" t="s">
        <v>1276</v>
      </c>
      <c r="J94" t="s">
        <v>1055</v>
      </c>
      <c r="K94" t="s">
        <v>1055</v>
      </c>
      <c r="L94">
        <v>0.24</v>
      </c>
      <c r="M94">
        <v>0</v>
      </c>
      <c r="N94" t="s">
        <v>1277</v>
      </c>
      <c r="O94">
        <v>52.34</v>
      </c>
      <c r="P94">
        <v>0</v>
      </c>
      <c r="Q94">
        <v>3.7</v>
      </c>
      <c r="R94">
        <v>8.59</v>
      </c>
      <c r="S94">
        <v>0</v>
      </c>
      <c r="T94">
        <v>0</v>
      </c>
      <c r="U94">
        <v>7.67</v>
      </c>
      <c r="V94">
        <v>21.14</v>
      </c>
      <c r="W94">
        <v>4.01</v>
      </c>
      <c r="X94">
        <v>0</v>
      </c>
      <c r="Y94">
        <v>0</v>
      </c>
      <c r="Z94">
        <v>0</v>
      </c>
      <c r="AA94">
        <v>0</v>
      </c>
      <c r="AB94">
        <v>0</v>
      </c>
      <c r="AC94">
        <v>59.06</v>
      </c>
      <c r="AD94">
        <v>0</v>
      </c>
      <c r="AE94">
        <v>0</v>
      </c>
      <c r="AF94">
        <v>0</v>
      </c>
      <c r="AG94">
        <v>10.1</v>
      </c>
      <c r="AH94">
        <v>0</v>
      </c>
      <c r="AI94">
        <v>13.1</v>
      </c>
      <c r="AJ94">
        <v>0</v>
      </c>
      <c r="AK94">
        <v>3.46</v>
      </c>
      <c r="AL94">
        <v>2.65</v>
      </c>
      <c r="AM94">
        <v>0</v>
      </c>
    </row>
    <row r="95" spans="2:39" x14ac:dyDescent="0.45">
      <c r="B95" t="s">
        <v>1278</v>
      </c>
      <c r="C95" t="s">
        <v>924</v>
      </c>
      <c r="D95" t="s">
        <v>1279</v>
      </c>
      <c r="E95" t="s">
        <v>1280</v>
      </c>
      <c r="F95" t="s">
        <v>1281</v>
      </c>
      <c r="G95" t="s">
        <v>916</v>
      </c>
      <c r="H95" t="s">
        <v>1282</v>
      </c>
      <c r="I95" t="s">
        <v>1055</v>
      </c>
      <c r="J95" t="s">
        <v>1055</v>
      </c>
      <c r="K95">
        <v>0.21</v>
      </c>
      <c r="L95">
        <v>0</v>
      </c>
      <c r="M95" t="s">
        <v>1283</v>
      </c>
      <c r="N95">
        <v>39.409999999999997</v>
      </c>
      <c r="O95">
        <v>0</v>
      </c>
      <c r="P95">
        <v>7.41</v>
      </c>
      <c r="Q95">
        <v>1.4</v>
      </c>
      <c r="R95">
        <v>0</v>
      </c>
      <c r="S95">
        <v>0</v>
      </c>
      <c r="T95">
        <v>19.09</v>
      </c>
      <c r="U95">
        <v>19.899999999999999</v>
      </c>
      <c r="V95">
        <v>2.08</v>
      </c>
      <c r="W95">
        <v>0</v>
      </c>
      <c r="X95">
        <v>0</v>
      </c>
      <c r="Y95">
        <v>0</v>
      </c>
      <c r="Z95">
        <v>0</v>
      </c>
      <c r="AA95">
        <v>0</v>
      </c>
      <c r="AB95">
        <v>40.06</v>
      </c>
      <c r="AC95">
        <v>0</v>
      </c>
      <c r="AD95">
        <v>0</v>
      </c>
      <c r="AE95">
        <v>0</v>
      </c>
      <c r="AF95">
        <v>1.26</v>
      </c>
      <c r="AG95">
        <v>0</v>
      </c>
      <c r="AH95">
        <v>8.11</v>
      </c>
      <c r="AI95">
        <v>0</v>
      </c>
      <c r="AJ95">
        <v>43.09</v>
      </c>
      <c r="AK95">
        <v>3.54</v>
      </c>
      <c r="AL95">
        <v>0</v>
      </c>
    </row>
    <row r="96" spans="2:39" x14ac:dyDescent="0.45">
      <c r="B96" t="s">
        <v>1284</v>
      </c>
      <c r="C96" t="s">
        <v>967</v>
      </c>
      <c r="D96" t="s">
        <v>1285</v>
      </c>
      <c r="E96" t="s">
        <v>1286</v>
      </c>
      <c r="F96" t="s">
        <v>1055</v>
      </c>
      <c r="G96" t="s">
        <v>1055</v>
      </c>
      <c r="H96">
        <v>0.62</v>
      </c>
      <c r="I96">
        <v>0</v>
      </c>
      <c r="J96" t="s">
        <v>1287</v>
      </c>
      <c r="K96">
        <v>23.53</v>
      </c>
      <c r="L96">
        <v>0</v>
      </c>
      <c r="M96">
        <v>7.41</v>
      </c>
      <c r="N96">
        <v>2.95</v>
      </c>
      <c r="O96">
        <v>0</v>
      </c>
      <c r="P96">
        <v>26</v>
      </c>
      <c r="Q96">
        <v>19.079999999999998</v>
      </c>
      <c r="R96">
        <v>7.85</v>
      </c>
      <c r="S96">
        <v>3.91</v>
      </c>
      <c r="T96">
        <v>47.57</v>
      </c>
      <c r="U96">
        <v>20.63</v>
      </c>
      <c r="V96">
        <v>24.62</v>
      </c>
      <c r="W96">
        <v>26.93</v>
      </c>
      <c r="X96">
        <v>28.91</v>
      </c>
      <c r="Y96">
        <v>32.479999999999997</v>
      </c>
      <c r="Z96">
        <v>0</v>
      </c>
      <c r="AA96">
        <v>0</v>
      </c>
      <c r="AB96">
        <v>0</v>
      </c>
      <c r="AC96">
        <v>4.08</v>
      </c>
      <c r="AD96">
        <v>12.23</v>
      </c>
      <c r="AE96">
        <v>0</v>
      </c>
      <c r="AF96">
        <v>0</v>
      </c>
      <c r="AG96">
        <v>2.27</v>
      </c>
      <c r="AH96">
        <v>1.77</v>
      </c>
      <c r="AI96">
        <v>0</v>
      </c>
    </row>
    <row r="97" spans="2:36" x14ac:dyDescent="0.45">
      <c r="B97" t="s">
        <v>1288</v>
      </c>
      <c r="C97" t="s">
        <v>1206</v>
      </c>
      <c r="D97" t="s">
        <v>1222</v>
      </c>
      <c r="E97" t="s">
        <v>916</v>
      </c>
      <c r="F97" t="s">
        <v>1289</v>
      </c>
      <c r="G97" t="s">
        <v>1180</v>
      </c>
      <c r="H97" t="s">
        <v>1055</v>
      </c>
      <c r="I97">
        <v>0.89</v>
      </c>
      <c r="J97">
        <v>0</v>
      </c>
      <c r="K97" t="s">
        <v>1290</v>
      </c>
      <c r="L97">
        <v>30.38</v>
      </c>
      <c r="M97">
        <v>0</v>
      </c>
      <c r="N97">
        <v>3.7</v>
      </c>
      <c r="O97">
        <v>0</v>
      </c>
      <c r="P97">
        <v>0</v>
      </c>
      <c r="Q97">
        <v>0</v>
      </c>
      <c r="R97">
        <v>20.37</v>
      </c>
      <c r="S97">
        <v>14.31</v>
      </c>
      <c r="T97">
        <v>2.37</v>
      </c>
      <c r="U97">
        <v>0</v>
      </c>
      <c r="V97">
        <v>0</v>
      </c>
      <c r="W97">
        <v>0</v>
      </c>
      <c r="X97">
        <v>0</v>
      </c>
      <c r="Y97">
        <v>0</v>
      </c>
      <c r="Z97">
        <v>7</v>
      </c>
      <c r="AA97">
        <v>6.3</v>
      </c>
      <c r="AB97">
        <v>11.11</v>
      </c>
      <c r="AC97">
        <v>5.19</v>
      </c>
      <c r="AD97">
        <v>4.8600000000000003</v>
      </c>
      <c r="AE97">
        <v>0</v>
      </c>
      <c r="AF97">
        <v>59.87</v>
      </c>
      <c r="AG97">
        <v>5.4</v>
      </c>
      <c r="AH97">
        <v>2.4900000000000002</v>
      </c>
      <c r="AI97">
        <v>23.89</v>
      </c>
      <c r="AJ97">
        <v>0</v>
      </c>
    </row>
    <row r="98" spans="2:36" x14ac:dyDescent="0.45">
      <c r="B98" t="s">
        <v>1288</v>
      </c>
      <c r="C98" t="s">
        <v>1206</v>
      </c>
      <c r="D98" t="s">
        <v>1222</v>
      </c>
      <c r="E98" t="s">
        <v>989</v>
      </c>
      <c r="F98" t="s">
        <v>1291</v>
      </c>
      <c r="G98" t="s">
        <v>1180</v>
      </c>
      <c r="H98" t="s">
        <v>1055</v>
      </c>
      <c r="I98">
        <v>1.67</v>
      </c>
      <c r="J98">
        <v>0</v>
      </c>
      <c r="K98" t="s">
        <v>1292</v>
      </c>
      <c r="L98">
        <v>27.35</v>
      </c>
      <c r="M98">
        <v>0</v>
      </c>
      <c r="N98">
        <v>3.7</v>
      </c>
      <c r="O98">
        <v>0</v>
      </c>
      <c r="P98">
        <v>0</v>
      </c>
      <c r="Q98">
        <v>0</v>
      </c>
      <c r="R98">
        <v>1.39</v>
      </c>
      <c r="S98">
        <v>17.350000000000001</v>
      </c>
      <c r="T98">
        <v>9.2100000000000009</v>
      </c>
      <c r="U98">
        <v>0</v>
      </c>
      <c r="V98">
        <v>0</v>
      </c>
      <c r="W98">
        <v>0</v>
      </c>
      <c r="X98">
        <v>0</v>
      </c>
      <c r="Y98">
        <v>0</v>
      </c>
      <c r="Z98">
        <v>6.6</v>
      </c>
      <c r="AA98">
        <v>0</v>
      </c>
      <c r="AB98">
        <v>11.11</v>
      </c>
      <c r="AC98">
        <v>1.68</v>
      </c>
      <c r="AD98">
        <v>24.73</v>
      </c>
      <c r="AE98">
        <v>0</v>
      </c>
      <c r="AF98">
        <v>28.35</v>
      </c>
      <c r="AG98">
        <v>13.22</v>
      </c>
      <c r="AH98">
        <v>2.56</v>
      </c>
      <c r="AI98">
        <v>42.48</v>
      </c>
      <c r="AJ98"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BA8F7-5787-4635-901C-93A18BB3B9B3}">
  <dimension ref="A1:BK127"/>
  <sheetViews>
    <sheetView tabSelected="1" topLeftCell="A111" zoomScaleNormal="100" workbookViewId="0">
      <selection activeCell="F117" sqref="F117"/>
    </sheetView>
  </sheetViews>
  <sheetFormatPr defaultRowHeight="14.25" outlineLevelCol="1" x14ac:dyDescent="0.45"/>
  <cols>
    <col min="1" max="1" width="3.19921875" bestFit="1" customWidth="1"/>
    <col min="2" max="2" width="4.1328125" bestFit="1" customWidth="1"/>
    <col min="3" max="3" width="41.1328125" customWidth="1"/>
    <col min="4" max="5" width="10.9296875" customWidth="1"/>
    <col min="6" max="7" width="10.9296875" customWidth="1" outlineLevel="1"/>
    <col min="8" max="8" width="8.19921875" customWidth="1" outlineLevel="1"/>
    <col min="9" max="15" width="10.9296875" customWidth="1" outlineLevel="1"/>
    <col min="16" max="18" width="11.9296875" customWidth="1" outlineLevel="1"/>
    <col min="19" max="19" width="14.06640625" customWidth="1" outlineLevel="1"/>
    <col min="20" max="41" width="11.9296875" customWidth="1" outlineLevel="1"/>
    <col min="43" max="43" width="9.06640625" hidden="1" customWidth="1" outlineLevel="1"/>
    <col min="44" max="44" width="6.59765625" hidden="1" customWidth="1" outlineLevel="1"/>
    <col min="45" max="45" width="8.6640625" hidden="1" customWidth="1" outlineLevel="1"/>
    <col min="46" max="47" width="9.06640625" hidden="1" customWidth="1" outlineLevel="1"/>
    <col min="48" max="48" width="11.19921875" customWidth="1" collapsed="1"/>
    <col min="49" max="49" width="9.06640625" customWidth="1" outlineLevel="1"/>
    <col min="50" max="50" width="14.06640625" customWidth="1" outlineLevel="1"/>
    <col min="51" max="51" width="11" customWidth="1" outlineLevel="1"/>
    <col min="52" max="52" width="10.3984375" customWidth="1" outlineLevel="1"/>
    <col min="53" max="53" width="12.33203125" customWidth="1" outlineLevel="1"/>
    <col min="54" max="54" width="9.06640625" customWidth="1" outlineLevel="1"/>
    <col min="55" max="55" width="10.46484375" customWidth="1" outlineLevel="1"/>
    <col min="58" max="58" width="0" hidden="1" customWidth="1" outlineLevel="1"/>
    <col min="59" max="59" width="30.46484375" hidden="1" customWidth="1" outlineLevel="1"/>
    <col min="60" max="60" width="9.06640625" hidden="1" customWidth="1" outlineLevel="1"/>
    <col min="61" max="61" width="9.06640625" collapsed="1"/>
  </cols>
  <sheetData>
    <row r="1" spans="1:63" x14ac:dyDescent="0.45">
      <c r="G1" s="33">
        <v>0.1</v>
      </c>
      <c r="H1" s="33">
        <v>0.02</v>
      </c>
      <c r="I1" s="33">
        <v>0.12</v>
      </c>
      <c r="J1" s="33"/>
      <c r="K1" s="33">
        <v>0.1</v>
      </c>
      <c r="L1" s="33">
        <v>0.03</v>
      </c>
      <c r="M1" s="33">
        <v>0.01</v>
      </c>
      <c r="N1" s="33">
        <v>0.01</v>
      </c>
      <c r="O1" s="33"/>
      <c r="P1" s="33">
        <v>0.03</v>
      </c>
      <c r="Q1" s="33">
        <v>0.03</v>
      </c>
      <c r="R1" s="33">
        <v>0.02</v>
      </c>
      <c r="S1" s="33"/>
      <c r="T1" s="33">
        <v>0.06</v>
      </c>
      <c r="U1" s="33">
        <v>0.04</v>
      </c>
      <c r="V1" s="33">
        <v>0.03</v>
      </c>
      <c r="W1" s="33">
        <v>0.03</v>
      </c>
      <c r="X1" s="33">
        <v>0.03</v>
      </c>
      <c r="Y1" s="33">
        <v>0.03</v>
      </c>
      <c r="Z1" s="33">
        <v>0.03</v>
      </c>
      <c r="AA1" s="33">
        <v>0.03</v>
      </c>
      <c r="AB1" s="33"/>
      <c r="AC1" s="33"/>
      <c r="AD1" s="33">
        <v>0.05</v>
      </c>
      <c r="AE1" s="33">
        <v>0.05</v>
      </c>
      <c r="AF1" s="33"/>
      <c r="AG1" s="33">
        <v>0.03</v>
      </c>
      <c r="AH1" s="33">
        <v>0.02</v>
      </c>
      <c r="AI1" s="33">
        <v>0.03</v>
      </c>
      <c r="AJ1" s="33">
        <v>0.02</v>
      </c>
      <c r="AK1" s="33">
        <v>0.01</v>
      </c>
      <c r="AL1" s="33">
        <v>0.01</v>
      </c>
      <c r="AM1" s="33">
        <v>0.01</v>
      </c>
      <c r="AN1" s="33">
        <v>0.01</v>
      </c>
      <c r="AO1" s="33">
        <v>0.01</v>
      </c>
      <c r="AP1" s="32">
        <f>SUM(G1:AO1)</f>
        <v>1.0000000000000004</v>
      </c>
    </row>
    <row r="2" spans="1:63" ht="128.25" x14ac:dyDescent="0.45">
      <c r="A2" t="s">
        <v>526</v>
      </c>
      <c r="B2" t="s">
        <v>1363</v>
      </c>
      <c r="C2" t="s">
        <v>1331</v>
      </c>
      <c r="D2" s="16" t="s">
        <v>1336</v>
      </c>
      <c r="E2" s="16" t="s">
        <v>1384</v>
      </c>
      <c r="F2" s="35" t="s">
        <v>1389</v>
      </c>
      <c r="G2" s="16" t="s">
        <v>1333</v>
      </c>
      <c r="H2" s="16" t="s">
        <v>1334</v>
      </c>
      <c r="I2" s="35" t="s">
        <v>1335</v>
      </c>
      <c r="J2" s="35" t="s">
        <v>1390</v>
      </c>
      <c r="K2" s="16" t="s">
        <v>1337</v>
      </c>
      <c r="L2" s="16" t="s">
        <v>1338</v>
      </c>
      <c r="M2" s="16" t="s">
        <v>1339</v>
      </c>
      <c r="N2" s="16" t="s">
        <v>1340</v>
      </c>
      <c r="O2" s="35" t="s">
        <v>1391</v>
      </c>
      <c r="P2" s="16" t="s">
        <v>1341</v>
      </c>
      <c r="Q2" s="16" t="s">
        <v>1342</v>
      </c>
      <c r="R2" s="16" t="s">
        <v>1343</v>
      </c>
      <c r="S2" s="35" t="s">
        <v>1392</v>
      </c>
      <c r="T2" s="16" t="s">
        <v>1344</v>
      </c>
      <c r="U2" s="16" t="s">
        <v>1345</v>
      </c>
      <c r="V2" s="16" t="s">
        <v>1346</v>
      </c>
      <c r="W2" s="16" t="s">
        <v>1347</v>
      </c>
      <c r="X2" s="16" t="s">
        <v>1348</v>
      </c>
      <c r="Y2" s="16" t="s">
        <v>1349</v>
      </c>
      <c r="Z2" s="16" t="s">
        <v>1350</v>
      </c>
      <c r="AA2" s="16" t="s">
        <v>1351</v>
      </c>
      <c r="AB2" s="36" t="s">
        <v>1393</v>
      </c>
      <c r="AC2" s="35" t="s">
        <v>1394</v>
      </c>
      <c r="AD2" s="16" t="s">
        <v>1352</v>
      </c>
      <c r="AE2" s="16" t="s">
        <v>1353</v>
      </c>
      <c r="AF2" s="35" t="s">
        <v>1395</v>
      </c>
      <c r="AG2" s="16" t="s">
        <v>1354</v>
      </c>
      <c r="AH2" s="16" t="s">
        <v>1355</v>
      </c>
      <c r="AI2" s="16" t="s">
        <v>1356</v>
      </c>
      <c r="AJ2" s="16" t="s">
        <v>1357</v>
      </c>
      <c r="AK2" s="16" t="s">
        <v>1358</v>
      </c>
      <c r="AL2" s="16" t="s">
        <v>1359</v>
      </c>
      <c r="AM2" s="16" t="s">
        <v>1360</v>
      </c>
      <c r="AN2" s="16" t="s">
        <v>1361</v>
      </c>
      <c r="AO2" s="16" t="s">
        <v>1362</v>
      </c>
      <c r="AP2" s="42" t="s">
        <v>864</v>
      </c>
      <c r="AQ2" s="43" t="s">
        <v>1411</v>
      </c>
      <c r="AR2" s="43" t="s">
        <v>1398</v>
      </c>
      <c r="AS2" s="43" t="s">
        <v>1399</v>
      </c>
      <c r="AT2" s="43" t="s">
        <v>1400</v>
      </c>
      <c r="AU2" s="43" t="s">
        <v>1401</v>
      </c>
      <c r="AV2" s="44" t="s">
        <v>1402</v>
      </c>
      <c r="AW2" s="44" t="s">
        <v>1403</v>
      </c>
      <c r="AX2" s="44" t="s">
        <v>1404</v>
      </c>
      <c r="AY2" s="44" t="s">
        <v>1405</v>
      </c>
      <c r="AZ2" s="44" t="s">
        <v>1406</v>
      </c>
      <c r="BA2" s="44" t="s">
        <v>1407</v>
      </c>
      <c r="BB2" s="44" t="s">
        <v>1408</v>
      </c>
      <c r="BC2" s="45" t="s">
        <v>1409</v>
      </c>
      <c r="BD2" s="29" t="s">
        <v>1801</v>
      </c>
      <c r="BE2" s="51" t="s">
        <v>1798</v>
      </c>
      <c r="BF2" s="30" t="s">
        <v>628</v>
      </c>
      <c r="BG2" s="30" t="s">
        <v>1799</v>
      </c>
      <c r="BH2" s="30" t="s">
        <v>1802</v>
      </c>
      <c r="BI2" s="30" t="s">
        <v>789</v>
      </c>
      <c r="BJ2" s="30" t="s">
        <v>790</v>
      </c>
      <c r="BK2" s="31" t="s">
        <v>791</v>
      </c>
    </row>
    <row r="3" spans="1:63" x14ac:dyDescent="0.45">
      <c r="A3">
        <v>2</v>
      </c>
      <c r="B3">
        <v>4</v>
      </c>
      <c r="C3" t="s">
        <v>1364</v>
      </c>
      <c r="D3">
        <v>80.5</v>
      </c>
      <c r="E3">
        <f>SUMPRODUCT($G$1:$AO$1,Perspektywy2022_techn[[#This Row],[ocena przez kadrę akademicką (10%)]:[Uniwersytety europejskie (1%)]])</f>
        <v>54.271000000000008</v>
      </c>
      <c r="F3">
        <f>SUMPRODUCT($G$1:$H$1,Perspektywy2022_techn[[#This Row],[ocena przez kadrę akademicką (10%)]:[uznanie międzynarodowe 2%]])</f>
        <v>5.7241999999999997</v>
      </c>
      <c r="G3">
        <v>47.5</v>
      </c>
      <c r="H3">
        <v>48.71</v>
      </c>
      <c r="I3">
        <v>78.72</v>
      </c>
      <c r="J3">
        <f>SUMPRODUCT($K$1:$N$1,Perspektywy2022_techn[[#This Row],[ocena parametryczna (10%)]:[Uprawnienia doktorskie (1%)]])</f>
        <v>11.9101</v>
      </c>
      <c r="K3">
        <v>89</v>
      </c>
      <c r="L3">
        <v>63.25</v>
      </c>
      <c r="M3">
        <v>52</v>
      </c>
      <c r="N3">
        <v>59.26</v>
      </c>
      <c r="O3">
        <f>SUMPRODUCT($P$1:$R$1,Perspektywy2022_techn[[#This Row],[patenty w Polsce (3%)]:[SDG (2%)]])</f>
        <v>2.7208000000000001</v>
      </c>
      <c r="P3">
        <v>11.92</v>
      </c>
      <c r="Q3">
        <v>26.44</v>
      </c>
      <c r="R3">
        <v>78.5</v>
      </c>
      <c r="S3">
        <f>SUMPRODUCT($T$1:$AA$1,Perspektywy2022_techn[[#This Row],[Finanse na badania (6%)]:[Top10 (3%)]])</f>
        <v>14.443100000000001</v>
      </c>
      <c r="T3">
        <v>45.6</v>
      </c>
      <c r="U3">
        <v>36.950000000000003</v>
      </c>
      <c r="V3">
        <v>58.15</v>
      </c>
      <c r="W3">
        <v>67.08</v>
      </c>
      <c r="X3">
        <v>39.07</v>
      </c>
      <c r="Y3">
        <v>39.200000000000003</v>
      </c>
      <c r="Z3">
        <v>52.44</v>
      </c>
      <c r="AA3">
        <v>85.03</v>
      </c>
      <c r="AB3">
        <f>SUMPRODUCT($W$1:$AA$1,Perspektywy2022_techn[[#This Row],[publikacje (3%)]:[Top10 (3%)]])</f>
        <v>8.4846000000000004</v>
      </c>
      <c r="AC3">
        <f>SUMPRODUCT($AD$1:$AE$1,Perspektywy2022_techn[[#This Row],[dostępność dla studentów (5%)]:[akredytacje (5%)]])</f>
        <v>5.4865000000000004</v>
      </c>
      <c r="AD3">
        <v>62.49</v>
      </c>
      <c r="AE3">
        <v>47.24</v>
      </c>
      <c r="AF3">
        <f>SUMPRODUCT($AG$1:$AO$1,Perspektywy2022_techn[[#This Row],[studia w j. obcych (3%)]:[Uniwersytety europejskie (1%)]])</f>
        <v>4.5399000000000003</v>
      </c>
      <c r="AG3">
        <v>38.89</v>
      </c>
      <c r="AH3">
        <v>1.57</v>
      </c>
      <c r="AI3">
        <v>5.45</v>
      </c>
      <c r="AJ3">
        <v>56.03</v>
      </c>
      <c r="AK3">
        <v>17.09</v>
      </c>
      <c r="AL3">
        <v>14.01</v>
      </c>
      <c r="AM3">
        <v>33.08</v>
      </c>
      <c r="AN3">
        <v>41.59</v>
      </c>
      <c r="AO3">
        <v>100</v>
      </c>
      <c r="AP3" s="46" t="s">
        <v>1364</v>
      </c>
      <c r="AQ3" s="8" t="b">
        <f>EXACT(Perspektywy2022_techn[[#This Row],[Nazwa uczelnie]],Perspektywy2022!$AP3)</f>
        <v>1</v>
      </c>
      <c r="AR3" s="47">
        <v>1</v>
      </c>
      <c r="AS3" s="8">
        <v>58943</v>
      </c>
      <c r="AT3" s="8">
        <v>56425</v>
      </c>
      <c r="AU3" s="8">
        <v>2518</v>
      </c>
      <c r="AV3" s="52">
        <v>3765.3449999999998</v>
      </c>
      <c r="AW3" s="53">
        <v>65.157142857142858</v>
      </c>
      <c r="AX3" s="53">
        <f>Perspektywy2022!$AV3*Perspektywy2022!$AW3/100</f>
        <v>2453.3912207142857</v>
      </c>
      <c r="AY3" s="52">
        <v>5168.3969999999999</v>
      </c>
      <c r="AZ3" s="53">
        <v>88.989999999999981</v>
      </c>
      <c r="BA3" s="52">
        <f>Perspektywy2022!$AY3*Perspektywy2022!$AZ3/100</f>
        <v>4599.3564902999988</v>
      </c>
      <c r="BB3" s="11">
        <v>0.85571428571428576</v>
      </c>
      <c r="BC3" s="54">
        <v>1.1180000000000001</v>
      </c>
      <c r="BD3" s="28">
        <v>3</v>
      </c>
      <c r="BE3" s="2">
        <v>560</v>
      </c>
      <c r="BF3" s="2" t="s">
        <v>1415</v>
      </c>
      <c r="BG3" s="2" t="s">
        <v>1364</v>
      </c>
      <c r="BH3" s="2" t="b">
        <f>EXACT(Perspektywy2022_techn[[#This Row],[Nazwa uczelnie]],BG3)</f>
        <v>1</v>
      </c>
      <c r="BI3" s="2">
        <v>728</v>
      </c>
      <c r="BJ3" s="2">
        <v>768</v>
      </c>
      <c r="BK3" s="55">
        <v>610</v>
      </c>
    </row>
    <row r="4" spans="1:63" x14ac:dyDescent="0.45">
      <c r="A4">
        <v>20</v>
      </c>
      <c r="B4">
        <v>71</v>
      </c>
      <c r="C4" t="s">
        <v>1381</v>
      </c>
      <c r="D4" t="s">
        <v>1055</v>
      </c>
      <c r="E4">
        <f>SUMPRODUCT($G$1:$AO$1,Perspektywy2022_techn[[#This Row],[ocena przez kadrę akademicką (10%)]:[Uniwersytety europejskie (1%)]])</f>
        <v>27.359199999999991</v>
      </c>
      <c r="F4">
        <f>SUMPRODUCT($G$1:$H$1,Perspektywy2022_techn[[#This Row],[ocena przez kadrę akademicką (10%)]:[uznanie międzynarodowe 2%]])</f>
        <v>0.17400000000000002</v>
      </c>
      <c r="G4">
        <v>1.74</v>
      </c>
      <c r="H4">
        <v>0</v>
      </c>
      <c r="I4">
        <v>57.1</v>
      </c>
      <c r="J4">
        <f>SUMPRODUCT($K$1:$N$1,Perspektywy2022_techn[[#This Row],[ocena parametryczna (10%)]:[Uprawnienia doktorskie (1%)]])</f>
        <v>6.9890999999999996</v>
      </c>
      <c r="K4">
        <v>59.5</v>
      </c>
      <c r="L4">
        <v>29.5</v>
      </c>
      <c r="M4">
        <v>8</v>
      </c>
      <c r="N4">
        <v>7.41</v>
      </c>
      <c r="O4">
        <f>SUMPRODUCT($P$1:$R$1,Perspektywy2022_techn[[#This Row],[patenty w Polsce (3%)]:[SDG (2%)]])</f>
        <v>0.92900000000000005</v>
      </c>
      <c r="P4">
        <v>11.3</v>
      </c>
      <c r="Q4">
        <v>0</v>
      </c>
      <c r="R4">
        <v>29.5</v>
      </c>
      <c r="S4">
        <f>SUMPRODUCT($T$1:$AA$1,Perspektywy2022_techn[[#This Row],[Finanse na badania (6%)]:[Top10 (3%)]])</f>
        <v>7.2698000000000009</v>
      </c>
      <c r="T4">
        <v>17.420000000000002</v>
      </c>
      <c r="U4">
        <v>4.3099999999999996</v>
      </c>
      <c r="V4">
        <v>3.21</v>
      </c>
      <c r="W4">
        <v>31.76</v>
      </c>
      <c r="X4">
        <v>33.53</v>
      </c>
      <c r="Y4">
        <v>41.21</v>
      </c>
      <c r="Z4">
        <v>38.97</v>
      </c>
      <c r="AA4">
        <v>53.06</v>
      </c>
      <c r="AB4">
        <f>SUMPRODUCT($W$1:$AA$1,Perspektywy2022_techn[[#This Row],[publikacje (3%)]:[Top10 (3%)]])</f>
        <v>5.9558999999999997</v>
      </c>
      <c r="AC4">
        <f>SUMPRODUCT($AD$1:$AE$1,Perspektywy2022_techn[[#This Row],[dostępność dla studentów (5%)]:[akredytacje (5%)]])</f>
        <v>2.4344999999999999</v>
      </c>
      <c r="AD4">
        <v>40.82</v>
      </c>
      <c r="AE4">
        <v>7.87</v>
      </c>
      <c r="AF4">
        <f>SUMPRODUCT($AG$1:$AO$1,Perspektywy2022_techn[[#This Row],[studia w j. obcych (3%)]:[Uniwersytety europejskie (1%)]])</f>
        <v>2.7107999999999999</v>
      </c>
      <c r="AG4">
        <v>5.56</v>
      </c>
      <c r="AH4">
        <v>6.96</v>
      </c>
      <c r="AI4">
        <v>45.04</v>
      </c>
      <c r="AJ4">
        <v>31.4</v>
      </c>
      <c r="AK4">
        <v>14.64</v>
      </c>
      <c r="AL4">
        <v>8.2899999999999991</v>
      </c>
      <c r="AM4">
        <v>2.82</v>
      </c>
      <c r="AN4">
        <v>16.809999999999999</v>
      </c>
      <c r="AO4">
        <v>0</v>
      </c>
      <c r="AP4" s="48" t="s">
        <v>1381</v>
      </c>
      <c r="AQ4" s="11" t="b">
        <f>EXACT(Perspektywy2022_techn[[#This Row],[Nazwa uczelnie]],Perspektywy2022!$AP4)</f>
        <v>1</v>
      </c>
      <c r="AR4" s="49">
        <v>1</v>
      </c>
      <c r="AS4" s="11">
        <v>4478</v>
      </c>
      <c r="AT4" s="11">
        <v>3910</v>
      </c>
      <c r="AU4" s="11">
        <v>568</v>
      </c>
      <c r="AV4" s="52">
        <v>2897.1171428571429</v>
      </c>
      <c r="AW4" s="53">
        <v>66.114285714285714</v>
      </c>
      <c r="AX4" s="53">
        <f>Perspektywy2022!$AV4*Perspektywy2022!$AW4/100</f>
        <v>1915.4083053061224</v>
      </c>
      <c r="AY4" s="52">
        <v>3928.1279999999997</v>
      </c>
      <c r="AZ4" s="53">
        <v>70.11</v>
      </c>
      <c r="BA4" s="52">
        <f>Perspektywy2022!$AY4*Perspektywy2022!$AZ4/100</f>
        <v>2754.0105407999999</v>
      </c>
      <c r="BB4" s="11">
        <v>0.64500000000000013</v>
      </c>
      <c r="BC4" s="54">
        <v>0.83399999999999996</v>
      </c>
      <c r="BD4" s="28">
        <v>321</v>
      </c>
      <c r="BE4" s="2">
        <v>23121</v>
      </c>
      <c r="BF4" s="2" t="s">
        <v>1732</v>
      </c>
      <c r="BG4" s="2" t="s">
        <v>1381</v>
      </c>
      <c r="BH4" s="2" t="b">
        <f>EXACT(Perspektywy2022_techn[[#This Row],[Nazwa uczelnie]],BG4)</f>
        <v>1</v>
      </c>
      <c r="BI4" s="2">
        <v>22851</v>
      </c>
      <c r="BJ4" s="2">
        <v>6553</v>
      </c>
      <c r="BK4" s="55">
        <v>7212</v>
      </c>
    </row>
    <row r="5" spans="1:63" x14ac:dyDescent="0.45">
      <c r="A5">
        <v>21</v>
      </c>
      <c r="B5">
        <v>80</v>
      </c>
      <c r="C5" t="s">
        <v>1382</v>
      </c>
      <c r="D5" t="s">
        <v>1055</v>
      </c>
      <c r="E5">
        <f>SUMPRODUCT($G$1:$AO$1,Perspektywy2022_techn[[#This Row],[ocena przez kadrę akademicką (10%)]:[Uniwersytety europejskie (1%)]])</f>
        <v>26.3261</v>
      </c>
      <c r="F5">
        <f>SUMPRODUCT($G$1:$H$1,Perspektywy2022_techn[[#This Row],[ocena przez kadrę akademicką (10%)]:[uznanie międzynarodowe 2%]])</f>
        <v>8.8000000000000009E-2</v>
      </c>
      <c r="G5">
        <v>0.88</v>
      </c>
      <c r="H5">
        <v>0</v>
      </c>
      <c r="I5">
        <v>62.71</v>
      </c>
      <c r="J5">
        <f>SUMPRODUCT($K$1:$N$1,Perspektywy2022_techn[[#This Row],[ocena parametryczna (10%)]:[Uprawnienia doktorskie (1%)]])</f>
        <v>7.2165000000000008</v>
      </c>
      <c r="K5">
        <v>54.4</v>
      </c>
      <c r="L5">
        <v>54.18</v>
      </c>
      <c r="M5">
        <v>4</v>
      </c>
      <c r="N5">
        <v>11.11</v>
      </c>
      <c r="O5">
        <f>SUMPRODUCT($P$1:$R$1,Perspektywy2022_techn[[#This Row],[patenty w Polsce (3%)]:[SDG (2%)]])</f>
        <v>0.9161999999999999</v>
      </c>
      <c r="P5">
        <v>8.34</v>
      </c>
      <c r="Q5">
        <v>0</v>
      </c>
      <c r="R5">
        <v>33.299999999999997</v>
      </c>
      <c r="S5">
        <f>SUMPRODUCT($T$1:$AA$1,Perspektywy2022_techn[[#This Row],[Finanse na badania (6%)]:[Top10 (3%)]])</f>
        <v>6.4081999999999999</v>
      </c>
      <c r="T5">
        <v>14.23</v>
      </c>
      <c r="U5">
        <v>10.16</v>
      </c>
      <c r="V5">
        <v>8.2200000000000006</v>
      </c>
      <c r="W5">
        <v>35.79</v>
      </c>
      <c r="X5">
        <v>27.18</v>
      </c>
      <c r="Y5">
        <v>31.66</v>
      </c>
      <c r="Z5">
        <v>36.1</v>
      </c>
      <c r="AA5">
        <v>32.65</v>
      </c>
      <c r="AB5">
        <f>SUMPRODUCT($W$1:$AA$1,Perspektywy2022_techn[[#This Row],[publikacje (3%)]:[Top10 (3%)]])</f>
        <v>4.9013999999999998</v>
      </c>
      <c r="AC5">
        <f>SUMPRODUCT($AD$1:$AE$1,Perspektywy2022_techn[[#This Row],[dostępność dla studentów (5%)]:[akredytacje (5%)]])</f>
        <v>2.2440000000000002</v>
      </c>
      <c r="AD5">
        <v>44.88</v>
      </c>
      <c r="AE5">
        <v>0</v>
      </c>
      <c r="AF5">
        <f>SUMPRODUCT($AG$1:$AO$1,Perspektywy2022_techn[[#This Row],[studia w j. obcych (3%)]:[Uniwersytety europejskie (1%)]])</f>
        <v>1.9280000000000002</v>
      </c>
      <c r="AG5">
        <v>2.78</v>
      </c>
      <c r="AH5">
        <v>0.21</v>
      </c>
      <c r="AI5">
        <v>2.2799999999999998</v>
      </c>
      <c r="AJ5">
        <v>51.74</v>
      </c>
      <c r="AK5">
        <v>32.76</v>
      </c>
      <c r="AL5">
        <v>1.43</v>
      </c>
      <c r="AM5">
        <v>35.11</v>
      </c>
      <c r="AN5">
        <v>4.42</v>
      </c>
      <c r="AO5">
        <v>0</v>
      </c>
      <c r="AP5" s="46" t="s">
        <v>1382</v>
      </c>
      <c r="AQ5" s="8" t="b">
        <f>EXACT(Perspektywy2022_techn[[#This Row],[Nazwa uczelnie]],Perspektywy2022!$AP5)</f>
        <v>1</v>
      </c>
      <c r="AR5" s="47">
        <v>1</v>
      </c>
      <c r="AS5" s="8">
        <v>9539</v>
      </c>
      <c r="AT5" s="8">
        <v>9318</v>
      </c>
      <c r="AU5" s="8">
        <v>221</v>
      </c>
      <c r="AV5" s="52">
        <v>3130.4464285714284</v>
      </c>
      <c r="AW5" s="53">
        <v>83.992857142857133</v>
      </c>
      <c r="AX5" s="53">
        <f>Perspektywy2022!$AV5*Perspektywy2022!$AW5/100</f>
        <v>2629.3513966836726</v>
      </c>
      <c r="AY5" s="52">
        <v>3888.9859999999999</v>
      </c>
      <c r="AZ5" s="53">
        <v>91.61999999999999</v>
      </c>
      <c r="BA5" s="52">
        <f>Perspektywy2022!$AY5*Perspektywy2022!$AZ5/100</f>
        <v>3563.0889731999991</v>
      </c>
      <c r="BB5" s="11">
        <v>0.71571428571428564</v>
      </c>
      <c r="BC5" s="54">
        <v>0.85099999999999998</v>
      </c>
      <c r="BD5" s="28">
        <v>61</v>
      </c>
      <c r="BE5" s="2">
        <v>3819</v>
      </c>
      <c r="BF5" s="2" t="s">
        <v>1472</v>
      </c>
      <c r="BG5" s="2" t="s">
        <v>1382</v>
      </c>
      <c r="BH5" s="2" t="b">
        <f>EXACT(Perspektywy2022_techn[[#This Row],[Nazwa uczelnie]],BG5)</f>
        <v>1</v>
      </c>
      <c r="BI5" s="2">
        <v>7590</v>
      </c>
      <c r="BJ5" s="2">
        <v>3480</v>
      </c>
      <c r="BK5" s="55">
        <v>3955</v>
      </c>
    </row>
    <row r="6" spans="1:63" x14ac:dyDescent="0.45">
      <c r="A6">
        <v>13</v>
      </c>
      <c r="B6">
        <v>52</v>
      </c>
      <c r="C6" t="s">
        <v>1375</v>
      </c>
      <c r="D6" t="s">
        <v>1055</v>
      </c>
      <c r="E6">
        <f>SUMPRODUCT($G$1:$AO$1,Perspektywy2022_techn[[#This Row],[ocena przez kadrę akademicką (10%)]:[Uniwersytety europejskie (1%)]])</f>
        <v>34.231599999999993</v>
      </c>
      <c r="F6">
        <f>SUMPRODUCT($G$1:$H$1,Perspektywy2022_techn[[#This Row],[ocena przez kadrę akademicką (10%)]:[uznanie międzynarodowe 2%]])</f>
        <v>0.40340000000000004</v>
      </c>
      <c r="G6">
        <v>3.36</v>
      </c>
      <c r="H6">
        <v>3.37</v>
      </c>
      <c r="I6">
        <v>61.37</v>
      </c>
      <c r="J6">
        <f>SUMPRODUCT($K$1:$N$1,Perspektywy2022_techn[[#This Row],[ocena parametryczna (10%)]:[Uprawnienia doktorskie (1%)]])</f>
        <v>8.3927999999999994</v>
      </c>
      <c r="K6">
        <v>63.14</v>
      </c>
      <c r="L6">
        <v>52.75</v>
      </c>
      <c r="M6">
        <v>20</v>
      </c>
      <c r="N6">
        <v>29.63</v>
      </c>
      <c r="O6">
        <f>SUMPRODUCT($P$1:$R$1,Perspektywy2022_techn[[#This Row],[patenty w Polsce (3%)]:[SDG (2%)]])</f>
        <v>2.4272</v>
      </c>
      <c r="P6">
        <v>15.89</v>
      </c>
      <c r="Q6">
        <v>29.09</v>
      </c>
      <c r="R6">
        <v>53.89</v>
      </c>
      <c r="S6">
        <f>SUMPRODUCT($T$1:$AA$1,Perspektywy2022_techn[[#This Row],[Finanse na badania (6%)]:[Top10 (3%)]])</f>
        <v>9.4082999999999988</v>
      </c>
      <c r="T6">
        <v>25.01</v>
      </c>
      <c r="U6">
        <v>36.51</v>
      </c>
      <c r="V6">
        <v>33.869999999999997</v>
      </c>
      <c r="W6">
        <v>61.49</v>
      </c>
      <c r="X6">
        <v>21.93</v>
      </c>
      <c r="Y6">
        <v>26.63</v>
      </c>
      <c r="Z6">
        <v>27.79</v>
      </c>
      <c r="AA6">
        <v>43.2</v>
      </c>
      <c r="AB6">
        <f>SUMPRODUCT($W$1:$AA$1,Perspektywy2022_techn[[#This Row],[publikacje (3%)]:[Top10 (3%)]])</f>
        <v>5.4312000000000005</v>
      </c>
      <c r="AC6">
        <f>SUMPRODUCT($AD$1:$AE$1,Perspektywy2022_techn[[#This Row],[dostępność dla studentów (5%)]:[akredytacje (5%)]])</f>
        <v>3.1850000000000001</v>
      </c>
      <c r="AD6">
        <v>51.1</v>
      </c>
      <c r="AE6">
        <v>12.6</v>
      </c>
      <c r="AF6">
        <f>SUMPRODUCT($AG$1:$AO$1,Perspektywy2022_techn[[#This Row],[studia w j. obcych (3%)]:[Uniwersytety europejskie (1%)]])</f>
        <v>3.0505</v>
      </c>
      <c r="AG6">
        <v>19.440000000000001</v>
      </c>
      <c r="AH6">
        <v>8.3699999999999992</v>
      </c>
      <c r="AI6">
        <v>10.62</v>
      </c>
      <c r="AJ6">
        <v>34.21</v>
      </c>
      <c r="AK6">
        <v>20.65</v>
      </c>
      <c r="AL6">
        <v>14.9</v>
      </c>
      <c r="AM6">
        <v>72.92</v>
      </c>
      <c r="AN6">
        <v>21.24</v>
      </c>
      <c r="AO6">
        <v>0</v>
      </c>
      <c r="AP6" s="48" t="s">
        <v>1375</v>
      </c>
      <c r="AQ6" s="11" t="b">
        <f>EXACT(Perspektywy2022_techn[[#This Row],[Nazwa uczelnie]],Perspektywy2022!$AP6)</f>
        <v>1</v>
      </c>
      <c r="AR6" s="49">
        <v>1</v>
      </c>
      <c r="AS6" s="11">
        <v>17215</v>
      </c>
      <c r="AT6" s="11">
        <v>16490</v>
      </c>
      <c r="AU6" s="11">
        <v>725</v>
      </c>
      <c r="AV6" s="52">
        <v>2759.4164285714287</v>
      </c>
      <c r="AW6" s="53">
        <v>68.73571428571428</v>
      </c>
      <c r="AX6" s="53">
        <f>Perspektywy2022!$AV6*Perspektywy2022!$AW6/100</f>
        <v>1896.7045922959182</v>
      </c>
      <c r="AY6" s="52">
        <v>3706.3829999999994</v>
      </c>
      <c r="AZ6" s="53">
        <v>88.309999999999988</v>
      </c>
      <c r="BA6" s="52">
        <f>Perspektywy2022!$AY6*Perspektywy2022!$AZ6/100</f>
        <v>3273.1068272999987</v>
      </c>
      <c r="BB6" s="11">
        <v>0.64642857142857146</v>
      </c>
      <c r="BC6" s="54">
        <v>0.82400000000000007</v>
      </c>
      <c r="BD6" s="28">
        <v>28</v>
      </c>
      <c r="BE6" s="2">
        <v>1762</v>
      </c>
      <c r="BF6" s="2" t="s">
        <v>1440</v>
      </c>
      <c r="BG6" s="2" t="s">
        <v>1375</v>
      </c>
      <c r="BH6" s="2" t="b">
        <f>EXACT(Perspektywy2022_techn[[#This Row],[Nazwa uczelnie]],BG6)</f>
        <v>1</v>
      </c>
      <c r="BI6" s="2">
        <v>2659</v>
      </c>
      <c r="BJ6" s="2">
        <v>1354</v>
      </c>
      <c r="BK6" s="55">
        <v>2256</v>
      </c>
    </row>
    <row r="7" spans="1:63" x14ac:dyDescent="0.45">
      <c r="A7">
        <v>9</v>
      </c>
      <c r="B7">
        <v>32</v>
      </c>
      <c r="C7" t="s">
        <v>1371</v>
      </c>
      <c r="D7">
        <v>57.6</v>
      </c>
      <c r="E7">
        <f>SUMPRODUCT($G$1:$AO$1,Perspektywy2022_techn[[#This Row],[ocena przez kadrę akademicką (10%)]:[Uniwersytety europejskie (1%)]])</f>
        <v>38.857899999999994</v>
      </c>
      <c r="F7">
        <f>SUMPRODUCT($G$1:$H$1,Perspektywy2022_techn[[#This Row],[ocena przez kadrę akademicką (10%)]:[uznanie międzynarodowe 2%]])</f>
        <v>0.43559999999999999</v>
      </c>
      <c r="G7">
        <v>2.5299999999999998</v>
      </c>
      <c r="H7">
        <v>9.1300000000000008</v>
      </c>
      <c r="I7">
        <v>60.59</v>
      </c>
      <c r="J7">
        <f>SUMPRODUCT($K$1:$N$1,Perspektywy2022_techn[[#This Row],[ocena parametryczna (10%)]:[Uprawnienia doktorskie (1%)]])</f>
        <v>9.4993999999999996</v>
      </c>
      <c r="K7">
        <v>72.25</v>
      </c>
      <c r="L7">
        <v>59.17</v>
      </c>
      <c r="M7">
        <v>24</v>
      </c>
      <c r="N7">
        <v>25.93</v>
      </c>
      <c r="O7">
        <f>SUMPRODUCT($P$1:$R$1,Perspektywy2022_techn[[#This Row],[patenty w Polsce (3%)]:[SDG (2%)]])</f>
        <v>2.1007000000000002</v>
      </c>
      <c r="P7">
        <v>15.7</v>
      </c>
      <c r="Q7">
        <v>11.43</v>
      </c>
      <c r="R7">
        <v>64.34</v>
      </c>
      <c r="S7">
        <f>SUMPRODUCT($T$1:$AA$1,Perspektywy2022_techn[[#This Row],[Finanse na badania (6%)]:[Top10 (3%)]])</f>
        <v>12.003499999999999</v>
      </c>
      <c r="T7">
        <v>39.39</v>
      </c>
      <c r="U7">
        <v>21.38</v>
      </c>
      <c r="V7">
        <v>55.05</v>
      </c>
      <c r="W7">
        <v>60.53</v>
      </c>
      <c r="X7">
        <v>46.47</v>
      </c>
      <c r="Y7">
        <v>49.75</v>
      </c>
      <c r="Z7">
        <v>43.27</v>
      </c>
      <c r="AA7">
        <v>37.76</v>
      </c>
      <c r="AB7">
        <f>SUMPRODUCT($W$1:$AA$1,Perspektywy2022_techn[[#This Row],[publikacje (3%)]:[Top10 (3%)]])</f>
        <v>7.1333999999999991</v>
      </c>
      <c r="AC7">
        <f>SUMPRODUCT($AD$1:$AE$1,Perspektywy2022_techn[[#This Row],[dostępność dla studentów (5%)]:[akredytacje (5%)]])</f>
        <v>4.4800000000000004</v>
      </c>
      <c r="AD7">
        <v>81.73</v>
      </c>
      <c r="AE7">
        <v>7.87</v>
      </c>
      <c r="AF7">
        <f>SUMPRODUCT($AG$1:$AO$1,Perspektywy2022_techn[[#This Row],[studia w j. obcych (3%)]:[Uniwersytety europejskie (1%)]])</f>
        <v>3.0679000000000003</v>
      </c>
      <c r="AG7">
        <v>11.11</v>
      </c>
      <c r="AH7">
        <v>3.38</v>
      </c>
      <c r="AI7">
        <v>20.99</v>
      </c>
      <c r="AJ7">
        <v>51.9</v>
      </c>
      <c r="AK7">
        <v>13.56</v>
      </c>
      <c r="AL7">
        <v>3.78</v>
      </c>
      <c r="AM7">
        <v>58.7</v>
      </c>
      <c r="AN7">
        <v>23.89</v>
      </c>
      <c r="AO7">
        <v>0</v>
      </c>
      <c r="AP7" s="46" t="s">
        <v>1371</v>
      </c>
      <c r="AQ7" s="8" t="b">
        <f>EXACT(Perspektywy2022_techn[[#This Row],[Nazwa uczelnie]],Perspektywy2022!$AP7)</f>
        <v>1</v>
      </c>
      <c r="AR7" s="47">
        <v>1</v>
      </c>
      <c r="AS7" s="8">
        <v>16305</v>
      </c>
      <c r="AT7" s="8">
        <v>15841</v>
      </c>
      <c r="AU7" s="8">
        <v>464</v>
      </c>
      <c r="AV7" s="52">
        <v>3004.0428571428574</v>
      </c>
      <c r="AW7" s="53">
        <v>74.421428571428578</v>
      </c>
      <c r="AX7" s="53">
        <f>Perspektywy2022!$AV7*Perspektywy2022!$AW7/100</f>
        <v>2235.6516091836738</v>
      </c>
      <c r="AY7" s="52">
        <v>3727.5940000000001</v>
      </c>
      <c r="AZ7" s="53">
        <v>89.87</v>
      </c>
      <c r="BA7" s="52">
        <f>Perspektywy2022!$AY7*Perspektywy2022!$AZ7/100</f>
        <v>3349.9887278000006</v>
      </c>
      <c r="BB7" s="11">
        <v>0.72499999999999998</v>
      </c>
      <c r="BC7" s="54">
        <v>0.85799999999999987</v>
      </c>
      <c r="BD7" s="28">
        <v>18</v>
      </c>
      <c r="BE7" s="2">
        <v>1268</v>
      </c>
      <c r="BF7" s="2" t="s">
        <v>1430</v>
      </c>
      <c r="BG7" s="2" t="s">
        <v>1371</v>
      </c>
      <c r="BH7" s="2" t="b">
        <f>EXACT(Perspektywy2022_techn[[#This Row],[Nazwa uczelnie]],BG7)</f>
        <v>1</v>
      </c>
      <c r="BI7" s="2">
        <v>1161</v>
      </c>
      <c r="BJ7" s="2">
        <v>1880</v>
      </c>
      <c r="BK7" s="55">
        <v>1809</v>
      </c>
    </row>
    <row r="8" spans="1:63" x14ac:dyDescent="0.45">
      <c r="A8">
        <v>3</v>
      </c>
      <c r="B8">
        <v>6</v>
      </c>
      <c r="C8" t="s">
        <v>1365</v>
      </c>
      <c r="D8">
        <v>78.400000000000006</v>
      </c>
      <c r="E8">
        <f>SUMPRODUCT($G$1:$AO$1,Perspektywy2022_techn[[#This Row],[ocena przez kadrę akademicką (10%)]:[Uniwersytety europejskie (1%)]])</f>
        <v>52.897799999999997</v>
      </c>
      <c r="F8">
        <f>SUMPRODUCT($G$1:$H$1,Perspektywy2022_techn[[#This Row],[ocena przez kadrę akademicką (10%)]:[uznanie międzynarodowe 2%]])</f>
        <v>3.3220000000000001</v>
      </c>
      <c r="G8">
        <v>26.02</v>
      </c>
      <c r="H8">
        <v>36</v>
      </c>
      <c r="I8">
        <v>78.42</v>
      </c>
      <c r="J8">
        <f>SUMPRODUCT($K$1:$N$1,Perspektywy2022_techn[[#This Row],[ocena parametryczna (10%)]:[Uprawnienia doktorskie (1%)]])</f>
        <v>11.523899999999999</v>
      </c>
      <c r="K8">
        <v>88.78</v>
      </c>
      <c r="L8">
        <v>57.48</v>
      </c>
      <c r="M8">
        <v>44</v>
      </c>
      <c r="N8">
        <v>48.15</v>
      </c>
      <c r="O8">
        <f>SUMPRODUCT($P$1:$R$1,Perspektywy2022_techn[[#This Row],[patenty w Polsce (3%)]:[SDG (2%)]])</f>
        <v>4.9734999999999996</v>
      </c>
      <c r="P8">
        <v>20.89</v>
      </c>
      <c r="Q8">
        <v>100</v>
      </c>
      <c r="R8">
        <v>67.34</v>
      </c>
      <c r="S8">
        <f>SUMPRODUCT($T$1:$AA$1,Perspektywy2022_techn[[#This Row],[Finanse na badania (6%)]:[Top10 (3%)]])</f>
        <v>14.0817</v>
      </c>
      <c r="T8">
        <v>49.53</v>
      </c>
      <c r="U8">
        <v>37.979999999999997</v>
      </c>
      <c r="V8">
        <v>51.91</v>
      </c>
      <c r="W8">
        <v>75.430000000000007</v>
      </c>
      <c r="X8">
        <v>39.71</v>
      </c>
      <c r="Y8">
        <v>38.69</v>
      </c>
      <c r="Z8">
        <v>32.659999999999997</v>
      </c>
      <c r="AA8">
        <v>81.290000000000006</v>
      </c>
      <c r="AB8">
        <f>SUMPRODUCT($W$1:$AA$1,Perspektywy2022_techn[[#This Row],[publikacje (3%)]:[Top10 (3%)]])</f>
        <v>8.0334000000000003</v>
      </c>
      <c r="AC8">
        <f>SUMPRODUCT($AD$1:$AE$1,Perspektywy2022_techn[[#This Row],[dostępność dla studentów (5%)]:[akredytacje (5%)]])</f>
        <v>4.0545000000000009</v>
      </c>
      <c r="AD8">
        <v>49.59</v>
      </c>
      <c r="AE8">
        <v>31.5</v>
      </c>
      <c r="AF8">
        <f>SUMPRODUCT($AG$1:$AO$1,Perspektywy2022_techn[[#This Row],[studia w j. obcych (3%)]:[Uniwersytety europejskie (1%)]])</f>
        <v>5.5317999999999996</v>
      </c>
      <c r="AG8">
        <v>52.78</v>
      </c>
      <c r="AH8">
        <v>5.26</v>
      </c>
      <c r="AI8">
        <v>15.14</v>
      </c>
      <c r="AJ8">
        <v>55.04</v>
      </c>
      <c r="AK8">
        <v>16.27</v>
      </c>
      <c r="AL8">
        <v>20.02</v>
      </c>
      <c r="AM8">
        <v>39.43</v>
      </c>
      <c r="AN8">
        <v>53.1</v>
      </c>
      <c r="AO8">
        <v>100</v>
      </c>
      <c r="AP8" s="48" t="s">
        <v>1365</v>
      </c>
      <c r="AQ8" s="11" t="b">
        <f>EXACT(Perspektywy2022_techn[[#This Row],[Nazwa uczelnie]],Perspektywy2022!$AP8)</f>
        <v>1</v>
      </c>
      <c r="AR8" s="49">
        <v>1</v>
      </c>
      <c r="AS8" s="11">
        <v>34952</v>
      </c>
      <c r="AT8" s="11">
        <v>33449</v>
      </c>
      <c r="AU8" s="11">
        <v>1503</v>
      </c>
      <c r="AV8" s="52">
        <v>3790.1414285714295</v>
      </c>
      <c r="AW8" s="53">
        <v>67.914285714285711</v>
      </c>
      <c r="AX8" s="53">
        <f>Perspektywy2022!$AV8*Perspektywy2022!$AW8/100</f>
        <v>2574.0474787755106</v>
      </c>
      <c r="AY8" s="52">
        <v>5098.7209999999995</v>
      </c>
      <c r="AZ8" s="53">
        <v>89.330000000000013</v>
      </c>
      <c r="BA8" s="52">
        <f>Perspektywy2022!$AY8*Perspektywy2022!$AZ8/100</f>
        <v>4554.6874693</v>
      </c>
      <c r="BB8" s="11">
        <v>0.8214285714285714</v>
      </c>
      <c r="BC8" s="54">
        <v>1.0510000000000002</v>
      </c>
      <c r="BD8" s="28">
        <v>16</v>
      </c>
      <c r="BE8" s="2">
        <v>1167</v>
      </c>
      <c r="BF8" s="2" t="s">
        <v>1428</v>
      </c>
      <c r="BG8" s="2" t="s">
        <v>1365</v>
      </c>
      <c r="BH8" s="2" t="b">
        <f>EXACT(Perspektywy2022_techn[[#This Row],[Nazwa uczelnie]],BG8)</f>
        <v>1</v>
      </c>
      <c r="BI8" s="2">
        <v>2677</v>
      </c>
      <c r="BJ8" s="2">
        <v>1232</v>
      </c>
      <c r="BK8" s="55">
        <v>1021</v>
      </c>
    </row>
    <row r="9" spans="1:63" x14ac:dyDescent="0.45">
      <c r="A9">
        <v>17</v>
      </c>
      <c r="B9">
        <v>61</v>
      </c>
      <c r="C9" t="s">
        <v>1378</v>
      </c>
      <c r="D9" t="s">
        <v>1055</v>
      </c>
      <c r="E9">
        <f>SUMPRODUCT($G$1:$AO$1,Perspektywy2022_techn[[#This Row],[ocena przez kadrę akademicką (10%)]:[Uniwersytety europejskie (1%)]])</f>
        <v>31.234100000000002</v>
      </c>
      <c r="F9">
        <f>SUMPRODUCT($G$1:$H$1,Perspektywy2022_techn[[#This Row],[ocena przez kadrę akademicką (10%)]:[uznanie międzynarodowe 2%]])</f>
        <v>0.121</v>
      </c>
      <c r="G9">
        <v>1.21</v>
      </c>
      <c r="H9">
        <v>0</v>
      </c>
      <c r="I9">
        <v>60.22</v>
      </c>
      <c r="J9">
        <f>SUMPRODUCT($K$1:$N$1,Perspektywy2022_techn[[#This Row],[ocena parametryczna (10%)]:[Uprawnienia doktorskie (1%)]])</f>
        <v>7.3456000000000001</v>
      </c>
      <c r="K9">
        <v>55.86</v>
      </c>
      <c r="L9">
        <v>48.48</v>
      </c>
      <c r="M9">
        <v>12</v>
      </c>
      <c r="N9">
        <v>18.52</v>
      </c>
      <c r="O9">
        <f>SUMPRODUCT($P$1:$R$1,Perspektywy2022_techn[[#This Row],[patenty w Polsce (3%)]:[SDG (2%)]])</f>
        <v>2.0293999999999999</v>
      </c>
      <c r="P9">
        <v>23.03</v>
      </c>
      <c r="Q9">
        <v>19.41</v>
      </c>
      <c r="R9">
        <v>37.81</v>
      </c>
      <c r="S9">
        <f>SUMPRODUCT($T$1:$AA$1,Perspektywy2022_techn[[#This Row],[Finanse na badania (6%)]:[Top10 (3%)]])</f>
        <v>9.7343999999999991</v>
      </c>
      <c r="T9">
        <v>33.32</v>
      </c>
      <c r="U9">
        <v>31.98</v>
      </c>
      <c r="V9">
        <v>19.59</v>
      </c>
      <c r="W9">
        <v>43.33</v>
      </c>
      <c r="X9">
        <v>28.91</v>
      </c>
      <c r="Y9">
        <v>46.23</v>
      </c>
      <c r="Z9">
        <v>34.96</v>
      </c>
      <c r="AA9">
        <v>42.18</v>
      </c>
      <c r="AB9">
        <f>SUMPRODUCT($W$1:$AA$1,Perspektywy2022_techn[[#This Row],[publikacje (3%)]:[Top10 (3%)]])</f>
        <v>5.8682999999999996</v>
      </c>
      <c r="AC9">
        <f>SUMPRODUCT($AD$1:$AE$1,Perspektywy2022_techn[[#This Row],[dostępność dla studentów (5%)]:[akredytacje (5%)]])</f>
        <v>2.883</v>
      </c>
      <c r="AD9">
        <v>57.66</v>
      </c>
      <c r="AE9">
        <v>0</v>
      </c>
      <c r="AF9">
        <f>SUMPRODUCT($AG$1:$AO$1,Perspektywy2022_techn[[#This Row],[studia w j. obcych (3%)]:[Uniwersytety europejskie (1%)]])</f>
        <v>1.8943000000000001</v>
      </c>
      <c r="AG9">
        <v>0</v>
      </c>
      <c r="AH9">
        <v>0</v>
      </c>
      <c r="AI9">
        <v>6.2</v>
      </c>
      <c r="AJ9">
        <v>57.85</v>
      </c>
      <c r="AK9">
        <v>26.96</v>
      </c>
      <c r="AL9">
        <v>6.15</v>
      </c>
      <c r="AM9">
        <v>16.71</v>
      </c>
      <c r="AN9">
        <v>5.31</v>
      </c>
      <c r="AO9">
        <v>0</v>
      </c>
      <c r="AP9" s="46" t="s">
        <v>1378</v>
      </c>
      <c r="AQ9" s="8" t="b">
        <f>EXACT(Perspektywy2022_techn[[#This Row],[Nazwa uczelnie]],Perspektywy2022!$AP9)</f>
        <v>1</v>
      </c>
      <c r="AR9" s="47">
        <v>1</v>
      </c>
      <c r="AS9" s="8">
        <v>10055</v>
      </c>
      <c r="AT9" s="8">
        <v>9786</v>
      </c>
      <c r="AU9" s="8">
        <v>269</v>
      </c>
      <c r="AV9" s="52">
        <v>2853.6942857142858</v>
      </c>
      <c r="AW9" s="53">
        <v>79.721428571428561</v>
      </c>
      <c r="AX9" s="53">
        <f>Perspektywy2022!$AV9*Perspektywy2022!$AW9/100</f>
        <v>2275.005851632653</v>
      </c>
      <c r="AY9" s="52">
        <v>3566.5219999999999</v>
      </c>
      <c r="AZ9" s="53">
        <v>89.78</v>
      </c>
      <c r="BA9" s="52">
        <f>Perspektywy2022!$AY9*Perspektywy2022!$AZ9/100</f>
        <v>3202.0234516</v>
      </c>
      <c r="BB9" s="11">
        <v>0.68642857142857139</v>
      </c>
      <c r="BC9" s="54">
        <v>0.81600000000000006</v>
      </c>
      <c r="BD9" s="28">
        <v>48</v>
      </c>
      <c r="BE9" s="2">
        <v>2864</v>
      </c>
      <c r="BF9" s="2" t="s">
        <v>1460</v>
      </c>
      <c r="BG9" s="2" t="s">
        <v>1378</v>
      </c>
      <c r="BH9" s="2" t="b">
        <f>EXACT(Perspektywy2022_techn[[#This Row],[Nazwa uczelnie]],BG9)</f>
        <v>1</v>
      </c>
      <c r="BI9" s="2">
        <v>5692</v>
      </c>
      <c r="BJ9" s="2">
        <v>2622</v>
      </c>
      <c r="BK9" s="55">
        <v>3049</v>
      </c>
    </row>
    <row r="10" spans="1:63" x14ac:dyDescent="0.45">
      <c r="A10">
        <v>10</v>
      </c>
      <c r="B10">
        <v>32</v>
      </c>
      <c r="C10" t="s">
        <v>1372</v>
      </c>
      <c r="D10">
        <v>57.3</v>
      </c>
      <c r="E10">
        <f>SUMPRODUCT($G$1:$AO$1,Perspektywy2022_techn[[#This Row],[ocena przez kadrę akademicką (10%)]:[Uniwersytety europejskie (1%)]])</f>
        <v>38.654999999999987</v>
      </c>
      <c r="F10">
        <f>SUMPRODUCT($G$1:$H$1,Perspektywy2022_techn[[#This Row],[ocena przez kadrę akademicką (10%)]:[uznanie międzynarodowe 2%]])</f>
        <v>1.6264000000000001</v>
      </c>
      <c r="G10">
        <v>11.71</v>
      </c>
      <c r="H10">
        <v>22.77</v>
      </c>
      <c r="I10">
        <v>68.36</v>
      </c>
      <c r="J10">
        <f>SUMPRODUCT($K$1:$N$1,Perspektywy2022_techn[[#This Row],[ocena parametryczna (10%)]:[Uprawnienia doktorskie (1%)]])</f>
        <v>8.0685000000000002</v>
      </c>
      <c r="K10">
        <v>63.14</v>
      </c>
      <c r="L10">
        <v>41.84</v>
      </c>
      <c r="M10">
        <v>24</v>
      </c>
      <c r="N10">
        <v>25.93</v>
      </c>
      <c r="O10">
        <f>SUMPRODUCT($P$1:$R$1,Perspektywy2022_techn[[#This Row],[patenty w Polsce (3%)]:[SDG (2%)]])</f>
        <v>3.0733000000000001</v>
      </c>
      <c r="P10">
        <v>36.28</v>
      </c>
      <c r="Q10">
        <v>25.17</v>
      </c>
      <c r="R10">
        <v>61.49</v>
      </c>
      <c r="S10">
        <f>SUMPRODUCT($T$1:$AA$1,Perspektywy2022_techn[[#This Row],[Finanse na badania (6%)]:[Top10 (3%)]])</f>
        <v>11.906100000000002</v>
      </c>
      <c r="T10">
        <v>32.42</v>
      </c>
      <c r="U10">
        <v>40.619999999999997</v>
      </c>
      <c r="V10">
        <v>61.02</v>
      </c>
      <c r="W10">
        <v>66.650000000000006</v>
      </c>
      <c r="X10">
        <v>27.44</v>
      </c>
      <c r="Y10">
        <v>33.67</v>
      </c>
      <c r="Z10">
        <v>34.67</v>
      </c>
      <c r="AA10">
        <v>54.42</v>
      </c>
      <c r="AB10">
        <f>SUMPRODUCT($W$1:$AA$1,Perspektywy2022_techn[[#This Row],[publikacje (3%)]:[Top10 (3%)]])</f>
        <v>6.5055000000000005</v>
      </c>
      <c r="AC10">
        <f>SUMPRODUCT($AD$1:$AE$1,Perspektywy2022_techn[[#This Row],[dostępność dla studentów (5%)]:[akredytacje (5%)]])</f>
        <v>3.0714999999999999</v>
      </c>
      <c r="AD10">
        <v>43.32</v>
      </c>
      <c r="AE10">
        <v>18.11</v>
      </c>
      <c r="AF10">
        <f>SUMPRODUCT($AG$1:$AO$1,Perspektywy2022_techn[[#This Row],[studia w j. obcych (3%)]:[Uniwersytety europejskie (1%)]])</f>
        <v>2.7060000000000004</v>
      </c>
      <c r="AG10">
        <v>13.89</v>
      </c>
      <c r="AH10">
        <v>1.33</v>
      </c>
      <c r="AI10">
        <v>6.64</v>
      </c>
      <c r="AJ10">
        <v>38.18</v>
      </c>
      <c r="AK10">
        <v>13.22</v>
      </c>
      <c r="AL10">
        <v>21.78</v>
      </c>
      <c r="AM10">
        <v>62.25</v>
      </c>
      <c r="AN10">
        <v>32.74</v>
      </c>
      <c r="AO10">
        <v>0</v>
      </c>
      <c r="AP10" s="48" t="s">
        <v>1372</v>
      </c>
      <c r="AQ10" s="11" t="b">
        <f>EXACT(Perspektywy2022_techn[[#This Row],[Nazwa uczelnie]],Perspektywy2022!$AP10)</f>
        <v>1</v>
      </c>
      <c r="AR10" s="49">
        <v>1</v>
      </c>
      <c r="AS10" s="11">
        <v>29501</v>
      </c>
      <c r="AT10" s="11">
        <v>28563</v>
      </c>
      <c r="AU10" s="11">
        <v>938</v>
      </c>
      <c r="AV10" s="52">
        <v>3151.6028571428574</v>
      </c>
      <c r="AW10" s="53">
        <v>67.407142857142858</v>
      </c>
      <c r="AX10" s="53">
        <f>Perspektywy2022!$AV10*Perspektywy2022!$AW10/100</f>
        <v>2124.405440204082</v>
      </c>
      <c r="AY10" s="52">
        <v>4407.5859999999984</v>
      </c>
      <c r="AZ10" s="53">
        <v>90.73</v>
      </c>
      <c r="BA10" s="52">
        <f>Perspektywy2022!$AY10*Perspektywy2022!$AZ10/100</f>
        <v>3999.002777799999</v>
      </c>
      <c r="BB10" s="11">
        <v>0.72785714285714287</v>
      </c>
      <c r="BC10" s="54">
        <v>0.97000000000000008</v>
      </c>
      <c r="BD10" s="28">
        <v>19</v>
      </c>
      <c r="BE10" s="2">
        <v>1402</v>
      </c>
      <c r="BF10" s="2" t="s">
        <v>1431</v>
      </c>
      <c r="BG10" s="2" t="s">
        <v>1372</v>
      </c>
      <c r="BH10" s="2" t="b">
        <f>EXACT(Perspektywy2022_techn[[#This Row],[Nazwa uczelnie]],BG10)</f>
        <v>1</v>
      </c>
      <c r="BI10" s="2">
        <v>2086</v>
      </c>
      <c r="BJ10" s="2">
        <v>1414</v>
      </c>
      <c r="BK10" s="55">
        <v>1710</v>
      </c>
    </row>
    <row r="11" spans="1:63" x14ac:dyDescent="0.45">
      <c r="A11">
        <v>8</v>
      </c>
      <c r="B11">
        <v>32</v>
      </c>
      <c r="C11" t="s">
        <v>1370</v>
      </c>
      <c r="D11">
        <v>57.8</v>
      </c>
      <c r="E11">
        <f>SUMPRODUCT($G$1:$AO$1,Perspektywy2022_techn[[#This Row],[ocena przez kadrę akademicką (10%)]:[Uniwersytety europejskie (1%)]])</f>
        <v>38.9833</v>
      </c>
      <c r="F11">
        <f>SUMPRODUCT($G$1:$H$1,Perspektywy2022_techn[[#This Row],[ocena przez kadrę akademicką (10%)]:[uznanie międzynarodowe 2%]])</f>
        <v>0.78620000000000012</v>
      </c>
      <c r="G11">
        <v>5.82</v>
      </c>
      <c r="H11">
        <v>10.210000000000001</v>
      </c>
      <c r="I11">
        <v>63.29</v>
      </c>
      <c r="J11">
        <f>SUMPRODUCT($K$1:$N$1,Perspektywy2022_techn[[#This Row],[ocena parametryczna (10%)]:[Uprawnienia doktorskie (1%)]])</f>
        <v>9.9826999999999995</v>
      </c>
      <c r="K11">
        <v>83.58</v>
      </c>
      <c r="L11">
        <v>45.22</v>
      </c>
      <c r="M11">
        <v>12</v>
      </c>
      <c r="N11">
        <v>14.81</v>
      </c>
      <c r="O11">
        <f>SUMPRODUCT($P$1:$R$1,Perspektywy2022_techn[[#This Row],[patenty w Polsce (3%)]:[SDG (2%)]])</f>
        <v>3.8812000000000002</v>
      </c>
      <c r="P11">
        <v>100</v>
      </c>
      <c r="Q11">
        <v>0</v>
      </c>
      <c r="R11">
        <v>44.06</v>
      </c>
      <c r="S11">
        <f>SUMPRODUCT($T$1:$AA$1,Perspektywy2022_techn[[#This Row],[Finanse na badania (6%)]:[Top10 (3%)]])</f>
        <v>11.122399999999999</v>
      </c>
      <c r="T11">
        <v>38.51</v>
      </c>
      <c r="U11">
        <v>28.34</v>
      </c>
      <c r="V11">
        <v>38.299999999999997</v>
      </c>
      <c r="W11">
        <v>72.88</v>
      </c>
      <c r="X11">
        <v>24.91</v>
      </c>
      <c r="Y11">
        <v>31.16</v>
      </c>
      <c r="Z11">
        <v>44.13</v>
      </c>
      <c r="AA11">
        <v>44.56</v>
      </c>
      <c r="AB11">
        <f>SUMPRODUCT($W$1:$AA$1,Perspektywy2022_techn[[#This Row],[publikacje (3%)]:[Top10 (3%)]])</f>
        <v>6.5292000000000003</v>
      </c>
      <c r="AC11">
        <f>SUMPRODUCT($AD$1:$AE$1,Perspektywy2022_techn[[#This Row],[dostępność dla studentów (5%)]:[akredytacje (5%)]])</f>
        <v>2.1975000000000002</v>
      </c>
      <c r="AD11">
        <v>40.799999999999997</v>
      </c>
      <c r="AE11">
        <v>3.15</v>
      </c>
      <c r="AF11">
        <f>SUMPRODUCT($AG$1:$AO$1,Perspektywy2022_techn[[#This Row],[studia w j. obcych (3%)]:[Uniwersytety europejskie (1%)]])</f>
        <v>3.4184999999999999</v>
      </c>
      <c r="AG11">
        <v>5.56</v>
      </c>
      <c r="AH11">
        <v>1.1299999999999999</v>
      </c>
      <c r="AI11">
        <v>36.950000000000003</v>
      </c>
      <c r="AJ11">
        <v>58.68</v>
      </c>
      <c r="AK11">
        <v>8.99</v>
      </c>
      <c r="AL11">
        <v>15.26</v>
      </c>
      <c r="AM11">
        <v>52.75</v>
      </c>
      <c r="AN11">
        <v>17.7</v>
      </c>
      <c r="AO11">
        <v>0</v>
      </c>
      <c r="AP11" s="46" t="s">
        <v>1370</v>
      </c>
      <c r="AQ11" s="8" t="b">
        <f>EXACT(Perspektywy2022_techn[[#This Row],[Nazwa uczelnie]],Perspektywy2022!$AP11)</f>
        <v>1</v>
      </c>
      <c r="AR11" s="47">
        <v>1</v>
      </c>
      <c r="AS11" s="8">
        <v>18027</v>
      </c>
      <c r="AT11" s="8">
        <v>16919</v>
      </c>
      <c r="AU11" s="8">
        <v>1108</v>
      </c>
      <c r="AV11" s="52">
        <v>2817.0078571428571</v>
      </c>
      <c r="AW11" s="53">
        <v>63.778571428571418</v>
      </c>
      <c r="AX11" s="53">
        <f>Perspektywy2022!$AV11*Perspektywy2022!$AW11/100</f>
        <v>1796.6473683163263</v>
      </c>
      <c r="AY11" s="52">
        <v>3911.067</v>
      </c>
      <c r="AZ11" s="53">
        <v>87.63</v>
      </c>
      <c r="BA11" s="52">
        <f>Perspektywy2022!$AY11*Perspektywy2022!$AZ11/100</f>
        <v>3427.2680120999999</v>
      </c>
      <c r="BB11" s="11">
        <v>0.67499999999999993</v>
      </c>
      <c r="BC11" s="54">
        <v>0.89200000000000002</v>
      </c>
      <c r="BD11" s="28">
        <v>20</v>
      </c>
      <c r="BE11" s="2">
        <v>1418</v>
      </c>
      <c r="BF11" s="2" t="s">
        <v>1432</v>
      </c>
      <c r="BG11" s="2" t="s">
        <v>1370</v>
      </c>
      <c r="BH11" s="2" t="b">
        <f>EXACT(Perspektywy2022_techn[[#This Row],[Nazwa uczelnie]],BG11)</f>
        <v>1</v>
      </c>
      <c r="BI11" s="2">
        <v>2065</v>
      </c>
      <c r="BJ11" s="2">
        <v>1650</v>
      </c>
      <c r="BK11" s="55">
        <v>1704</v>
      </c>
    </row>
    <row r="12" spans="1:63" x14ac:dyDescent="0.45">
      <c r="A12">
        <v>5</v>
      </c>
      <c r="B12">
        <v>10</v>
      </c>
      <c r="C12" t="s">
        <v>1367</v>
      </c>
      <c r="D12">
        <v>70.400000000000006</v>
      </c>
      <c r="E12">
        <f>SUMPRODUCT($G$1:$AO$1,Perspektywy2022_techn[[#This Row],[ocena przez kadrę akademicką (10%)]:[Uniwersytety europejskie (1%)]])</f>
        <v>47.502600000000015</v>
      </c>
      <c r="F12">
        <f>SUMPRODUCT($G$1:$H$1,Perspektywy2022_techn[[#This Row],[ocena przez kadrę akademicką (10%)]:[uznanie międzynarodowe 2%]])</f>
        <v>1.7915999999999999</v>
      </c>
      <c r="G12">
        <v>12.5</v>
      </c>
      <c r="H12">
        <v>27.08</v>
      </c>
      <c r="I12">
        <v>77.239999999999995</v>
      </c>
      <c r="J12">
        <f>SUMPRODUCT($K$1:$N$1,Perspektywy2022_techn[[#This Row],[ocena parametryczna (10%)]:[Uprawnienia doktorskie (1%)]])</f>
        <v>10.696600000000002</v>
      </c>
      <c r="K12">
        <v>82.17</v>
      </c>
      <c r="L12">
        <v>53.27</v>
      </c>
      <c r="M12">
        <v>40</v>
      </c>
      <c r="N12">
        <v>48.15</v>
      </c>
      <c r="O12">
        <f>SUMPRODUCT($P$1:$R$1,Perspektywy2022_techn[[#This Row],[patenty w Polsce (3%)]:[SDG (2%)]])</f>
        <v>2.3418000000000001</v>
      </c>
      <c r="P12">
        <v>19.07</v>
      </c>
      <c r="Q12">
        <v>25.55</v>
      </c>
      <c r="R12">
        <v>50.16</v>
      </c>
      <c r="S12">
        <f>SUMPRODUCT($T$1:$AA$1,Perspektywy2022_techn[[#This Row],[Finanse na badania (6%)]:[Top10 (3%)]])</f>
        <v>12.1837</v>
      </c>
      <c r="T12">
        <v>42.54</v>
      </c>
      <c r="U12">
        <v>27.13</v>
      </c>
      <c r="V12">
        <v>39.49</v>
      </c>
      <c r="W12">
        <v>69.87</v>
      </c>
      <c r="X12">
        <v>38.369999999999997</v>
      </c>
      <c r="Y12">
        <v>33.67</v>
      </c>
      <c r="Z12">
        <v>37.82</v>
      </c>
      <c r="AA12">
        <v>65.650000000000006</v>
      </c>
      <c r="AB12">
        <f>SUMPRODUCT($W$1:$AA$1,Perspektywy2022_techn[[#This Row],[publikacje (3%)]:[Top10 (3%)]])</f>
        <v>7.3613999999999988</v>
      </c>
      <c r="AC12">
        <f>SUMPRODUCT($AD$1:$AE$1,Perspektywy2022_techn[[#This Row],[dostępność dla studentów (5%)]:[akredytacje (5%)]])</f>
        <v>4.0560000000000009</v>
      </c>
      <c r="AD12">
        <v>59.86</v>
      </c>
      <c r="AE12">
        <v>21.26</v>
      </c>
      <c r="AF12">
        <f>SUMPRODUCT($AG$1:$AO$1,Perspektywy2022_techn[[#This Row],[studia w j. obcych (3%)]:[Uniwersytety europejskie (1%)]])</f>
        <v>7.1641000000000012</v>
      </c>
      <c r="AG12">
        <v>100</v>
      </c>
      <c r="AH12">
        <v>2.4300000000000002</v>
      </c>
      <c r="AI12">
        <v>8.74</v>
      </c>
      <c r="AJ12">
        <v>48.6</v>
      </c>
      <c r="AK12">
        <v>19.23</v>
      </c>
      <c r="AL12">
        <v>68.63</v>
      </c>
      <c r="AM12">
        <v>65.760000000000005</v>
      </c>
      <c r="AN12">
        <v>34.51</v>
      </c>
      <c r="AO12">
        <v>100</v>
      </c>
      <c r="AP12" s="48" t="s">
        <v>1367</v>
      </c>
      <c r="AQ12" s="11" t="b">
        <f>EXACT(Perspektywy2022_techn[[#This Row],[Nazwa uczelnie]],Perspektywy2022!$AP12)</f>
        <v>1</v>
      </c>
      <c r="AR12" s="49">
        <v>1</v>
      </c>
      <c r="AS12" s="11">
        <v>24393</v>
      </c>
      <c r="AT12" s="11">
        <v>23301</v>
      </c>
      <c r="AU12" s="11">
        <v>1092</v>
      </c>
      <c r="AV12" s="52">
        <v>3646.9371428571421</v>
      </c>
      <c r="AW12" s="53">
        <v>72.178571428571416</v>
      </c>
      <c r="AX12" s="53">
        <f>Perspektywy2022!$AV12*Perspektywy2022!$AW12/100</f>
        <v>2632.3071306122438</v>
      </c>
      <c r="AY12" s="52">
        <v>4767.8239999999996</v>
      </c>
      <c r="AZ12" s="53">
        <v>88.559999999999988</v>
      </c>
      <c r="BA12" s="52">
        <f>Perspektywy2022!$AY12*Perspektywy2022!$AZ12/100</f>
        <v>4222.3849343999991</v>
      </c>
      <c r="BB12" s="11">
        <v>0.83928571428571419</v>
      </c>
      <c r="BC12" s="54">
        <v>1.0429999999999999</v>
      </c>
      <c r="BD12" s="28">
        <v>10</v>
      </c>
      <c r="BE12" s="2">
        <v>963</v>
      </c>
      <c r="BF12" s="2" t="s">
        <v>1422</v>
      </c>
      <c r="BG12" s="2" t="s">
        <v>1367</v>
      </c>
      <c r="BH12" s="2" t="b">
        <f>EXACT(Perspektywy2022_techn[[#This Row],[Nazwa uczelnie]],BG12)</f>
        <v>1</v>
      </c>
      <c r="BI12" s="2">
        <v>1040</v>
      </c>
      <c r="BJ12" s="2">
        <v>1126</v>
      </c>
      <c r="BK12" s="55">
        <v>1287</v>
      </c>
    </row>
    <row r="13" spans="1:63" x14ac:dyDescent="0.45">
      <c r="A13">
        <v>18</v>
      </c>
      <c r="B13">
        <v>61</v>
      </c>
      <c r="C13" t="s">
        <v>1379</v>
      </c>
      <c r="D13" t="s">
        <v>1055</v>
      </c>
      <c r="E13">
        <f>SUMPRODUCT($G$1:$AO$1,Perspektywy2022_techn[[#This Row],[ocena przez kadrę akademicką (10%)]:[Uniwersytety europejskie (1%)]])</f>
        <v>32.293199999999999</v>
      </c>
      <c r="F13">
        <f>SUMPRODUCT($G$1:$H$1,Perspektywy2022_techn[[#This Row],[ocena przez kadrę akademicką (10%)]:[uznanie międzynarodowe 2%]])</f>
        <v>0.18100000000000002</v>
      </c>
      <c r="G13">
        <v>1.81</v>
      </c>
      <c r="H13">
        <v>0</v>
      </c>
      <c r="I13">
        <v>62.07</v>
      </c>
      <c r="J13">
        <f>SUMPRODUCT($K$1:$N$1,Perspektywy2022_techn[[#This Row],[ocena parametryczna (10%)]:[Uprawnienia doktorskie (1%)]])</f>
        <v>7.3368000000000011</v>
      </c>
      <c r="K13">
        <v>55.25</v>
      </c>
      <c r="L13">
        <v>52.69</v>
      </c>
      <c r="M13">
        <v>12</v>
      </c>
      <c r="N13">
        <v>11.11</v>
      </c>
      <c r="O13">
        <f>SUMPRODUCT($P$1:$R$1,Perspektywy2022_techn[[#This Row],[patenty w Polsce (3%)]:[SDG (2%)]])</f>
        <v>1.7523999999999997</v>
      </c>
      <c r="P13">
        <v>15.33</v>
      </c>
      <c r="Q13">
        <v>18.649999999999999</v>
      </c>
      <c r="R13">
        <v>36.65</v>
      </c>
      <c r="S13">
        <f>SUMPRODUCT($T$1:$AA$1,Perspektywy2022_techn[[#This Row],[Finanse na badania (6%)]:[Top10 (3%)]])</f>
        <v>10.1874</v>
      </c>
      <c r="T13">
        <v>27.35</v>
      </c>
      <c r="U13">
        <v>31.5</v>
      </c>
      <c r="V13">
        <v>35.53</v>
      </c>
      <c r="W13">
        <v>59.73</v>
      </c>
      <c r="X13">
        <v>28.02</v>
      </c>
      <c r="Y13">
        <v>35.18</v>
      </c>
      <c r="Z13">
        <v>32.380000000000003</v>
      </c>
      <c r="AA13">
        <v>52.04</v>
      </c>
      <c r="AB13">
        <f>SUMPRODUCT($W$1:$AA$1,Perspektywy2022_techn[[#This Row],[publikacje (3%)]:[Top10 (3%)]])</f>
        <v>6.2204999999999995</v>
      </c>
      <c r="AC13">
        <f>SUMPRODUCT($AD$1:$AE$1,Perspektywy2022_techn[[#This Row],[dostępność dla studentów (5%)]:[akredytacje (5%)]])</f>
        <v>2.8035000000000005</v>
      </c>
      <c r="AD13">
        <v>52.92</v>
      </c>
      <c r="AE13">
        <v>3.15</v>
      </c>
      <c r="AF13">
        <f>SUMPRODUCT($AG$1:$AO$1,Perspektywy2022_techn[[#This Row],[studia w j. obcych (3%)]:[Uniwersytety europejskie (1%)]])</f>
        <v>2.5836999999999999</v>
      </c>
      <c r="AG13">
        <v>5.56</v>
      </c>
      <c r="AH13">
        <v>2.4300000000000002</v>
      </c>
      <c r="AI13">
        <v>21.03</v>
      </c>
      <c r="AJ13">
        <v>44.63</v>
      </c>
      <c r="AK13">
        <v>31.08</v>
      </c>
      <c r="AL13">
        <v>15.82</v>
      </c>
      <c r="AM13">
        <v>26.96</v>
      </c>
      <c r="AN13">
        <v>10.62</v>
      </c>
      <c r="AO13">
        <v>0</v>
      </c>
      <c r="AP13" s="46" t="s">
        <v>1379</v>
      </c>
      <c r="AQ13" s="8" t="b">
        <f>EXACT(Perspektywy2022_techn[[#This Row],[Nazwa uczelnie]],Perspektywy2022!$AP13)</f>
        <v>1</v>
      </c>
      <c r="AR13" s="47">
        <v>1</v>
      </c>
      <c r="AS13" s="8">
        <v>12459</v>
      </c>
      <c r="AT13" s="8">
        <v>11991</v>
      </c>
      <c r="AU13" s="8">
        <v>468</v>
      </c>
      <c r="AV13" s="52">
        <v>3033.5885714285714</v>
      </c>
      <c r="AW13" s="53">
        <v>75.650000000000006</v>
      </c>
      <c r="AX13" s="53">
        <f>Perspektywy2022!$AV13*Perspektywy2022!$AW13/100</f>
        <v>2294.9097542857144</v>
      </c>
      <c r="AY13" s="52">
        <v>3869.2340000000004</v>
      </c>
      <c r="AZ13" s="53">
        <v>89.999999999999986</v>
      </c>
      <c r="BA13" s="52">
        <f>Perspektywy2022!$AY13*Perspektywy2022!$AZ13/100</f>
        <v>3482.3105999999998</v>
      </c>
      <c r="BB13" s="11">
        <v>0.70142857142857129</v>
      </c>
      <c r="BC13" s="54">
        <v>0.85299999999999998</v>
      </c>
      <c r="BD13" s="28">
        <v>53</v>
      </c>
      <c r="BE13" s="2">
        <v>3097</v>
      </c>
      <c r="BF13" s="2" t="s">
        <v>1379</v>
      </c>
      <c r="BG13" s="2" t="s">
        <v>1379</v>
      </c>
      <c r="BH13" s="2" t="b">
        <f>EXACT(Perspektywy2022_techn[[#This Row],[Nazwa uczelnie]],BG13)</f>
        <v>1</v>
      </c>
      <c r="BI13" s="2">
        <v>8933</v>
      </c>
      <c r="BJ13" s="2">
        <v>3607</v>
      </c>
      <c r="BK13" s="55">
        <v>2396</v>
      </c>
    </row>
    <row r="14" spans="1:63" x14ac:dyDescent="0.45">
      <c r="A14">
        <v>7</v>
      </c>
      <c r="B14">
        <v>23</v>
      </c>
      <c r="C14" t="s">
        <v>1369</v>
      </c>
      <c r="D14">
        <v>64</v>
      </c>
      <c r="E14">
        <f>SUMPRODUCT($G$1:$AO$1,Perspektywy2022_techn[[#This Row],[ocena przez kadrę akademicką (10%)]:[Uniwersytety europejskie (1%)]])</f>
        <v>43.183799999999998</v>
      </c>
      <c r="F14">
        <f>SUMPRODUCT($G$1:$H$1,Perspektywy2022_techn[[#This Row],[ocena przez kadrę akademicką (10%)]:[uznanie międzynarodowe 2%]])</f>
        <v>2.0489999999999999</v>
      </c>
      <c r="G14">
        <v>14.43</v>
      </c>
      <c r="H14">
        <v>30.3</v>
      </c>
      <c r="I14">
        <v>79.31</v>
      </c>
      <c r="J14">
        <f>SUMPRODUCT($K$1:$N$1,Perspektywy2022_techn[[#This Row],[ocena parametryczna (10%)]:[Uprawnienia doktorskie (1%)]])</f>
        <v>9.6163999999999987</v>
      </c>
      <c r="K14">
        <v>74.8</v>
      </c>
      <c r="L14">
        <v>50.77</v>
      </c>
      <c r="M14">
        <v>28</v>
      </c>
      <c r="N14">
        <v>33.33</v>
      </c>
      <c r="O14">
        <f>SUMPRODUCT($P$1:$R$1,Perspektywy2022_techn[[#This Row],[patenty w Polsce (3%)]:[SDG (2%)]])</f>
        <v>2.2859999999999996</v>
      </c>
      <c r="P14">
        <v>22.39</v>
      </c>
      <c r="Q14">
        <v>16.649999999999999</v>
      </c>
      <c r="R14">
        <v>55.74</v>
      </c>
      <c r="S14">
        <f>SUMPRODUCT($T$1:$AA$1,Perspektywy2022_techn[[#This Row],[Finanse na badania (6%)]:[Top10 (3%)]])</f>
        <v>11.412500000000001</v>
      </c>
      <c r="T14">
        <v>30.44</v>
      </c>
      <c r="U14">
        <v>31.07</v>
      </c>
      <c r="V14">
        <v>50.98</v>
      </c>
      <c r="W14">
        <v>60.59</v>
      </c>
      <c r="X14">
        <v>32.36</v>
      </c>
      <c r="Y14">
        <v>36.68</v>
      </c>
      <c r="Z14">
        <v>36.96</v>
      </c>
      <c r="AA14">
        <v>60.54</v>
      </c>
      <c r="AB14">
        <f>SUMPRODUCT($W$1:$AA$1,Perspektywy2022_techn[[#This Row],[publikacje (3%)]:[Top10 (3%)]])</f>
        <v>6.8139000000000003</v>
      </c>
      <c r="AC14">
        <f>SUMPRODUCT($AD$1:$AE$1,Perspektywy2022_techn[[#This Row],[dostępność dla studentów (5%)]:[akredytacje (5%)]])</f>
        <v>3.339</v>
      </c>
      <c r="AD14">
        <v>44.73</v>
      </c>
      <c r="AE14">
        <v>22.05</v>
      </c>
      <c r="AF14">
        <f>SUMPRODUCT($AG$1:$AO$1,Perspektywy2022_techn[[#This Row],[studia w j. obcych (3%)]:[Uniwersytety europejskie (1%)]])</f>
        <v>4.9636999999999993</v>
      </c>
      <c r="AG14">
        <v>52.78</v>
      </c>
      <c r="AH14">
        <v>8.3699999999999992</v>
      </c>
      <c r="AI14">
        <v>12.62</v>
      </c>
      <c r="AJ14">
        <v>39.5</v>
      </c>
      <c r="AK14">
        <v>12.6</v>
      </c>
      <c r="AL14">
        <v>23.31</v>
      </c>
      <c r="AM14">
        <v>18.96</v>
      </c>
      <c r="AN14">
        <v>49.56</v>
      </c>
      <c r="AO14">
        <v>100</v>
      </c>
      <c r="AP14" s="48" t="s">
        <v>1369</v>
      </c>
      <c r="AQ14" s="11" t="b">
        <f>EXACT(Perspektywy2022_techn[[#This Row],[Nazwa uczelnie]],Perspektywy2022!$AP14)</f>
        <v>1</v>
      </c>
      <c r="AR14" s="49">
        <v>1</v>
      </c>
      <c r="AS14" s="11">
        <v>36679</v>
      </c>
      <c r="AT14" s="11">
        <v>35487</v>
      </c>
      <c r="AU14" s="11">
        <v>1192</v>
      </c>
      <c r="AV14" s="52">
        <v>3655.2771428571432</v>
      </c>
      <c r="AW14" s="53">
        <v>70.271428571428572</v>
      </c>
      <c r="AX14" s="53">
        <f>Perspektywy2022!$AV14*Perspektywy2022!$AW14/100</f>
        <v>2568.6154665306126</v>
      </c>
      <c r="AY14" s="52">
        <v>5006.4449999999997</v>
      </c>
      <c r="AZ14" s="53">
        <v>91.609999999999985</v>
      </c>
      <c r="BA14" s="52">
        <f>Perspektywy2022!$AY14*Perspektywy2022!$AZ14/100</f>
        <v>4586.404264499999</v>
      </c>
      <c r="BB14" s="11">
        <v>0.84857142857142864</v>
      </c>
      <c r="BC14" s="54">
        <v>1.105</v>
      </c>
      <c r="BD14" s="28">
        <v>7</v>
      </c>
      <c r="BE14" s="2">
        <v>782</v>
      </c>
      <c r="BF14" s="2" t="s">
        <v>1419</v>
      </c>
      <c r="BG14" s="2" t="s">
        <v>1369</v>
      </c>
      <c r="BH14" s="2" t="b">
        <f>EXACT(Perspektywy2022_techn[[#This Row],[Nazwa uczelnie]],BG14)</f>
        <v>1</v>
      </c>
      <c r="BI14" s="2">
        <v>708</v>
      </c>
      <c r="BJ14" s="2">
        <v>927</v>
      </c>
      <c r="BK14" s="55">
        <v>1171</v>
      </c>
    </row>
    <row r="15" spans="1:63" x14ac:dyDescent="0.45">
      <c r="A15">
        <v>14</v>
      </c>
      <c r="B15">
        <v>52</v>
      </c>
      <c r="C15" t="s">
        <v>1376</v>
      </c>
      <c r="D15" t="s">
        <v>1055</v>
      </c>
      <c r="E15">
        <f>SUMPRODUCT($G$1:$AO$1,Perspektywy2022_techn[[#This Row],[ocena przez kadrę akademicką (10%)]:[Uniwersytety europejskie (1%)]])</f>
        <v>32.407600000000002</v>
      </c>
      <c r="F15">
        <f>SUMPRODUCT($G$1:$H$1,Perspektywy2022_techn[[#This Row],[ocena przez kadrę akademicką (10%)]:[uznanie międzynarodowe 2%]])</f>
        <v>0.90880000000000005</v>
      </c>
      <c r="G15">
        <v>5.82</v>
      </c>
      <c r="H15">
        <v>16.34</v>
      </c>
      <c r="I15">
        <v>60.21</v>
      </c>
      <c r="J15">
        <f>SUMPRODUCT($K$1:$N$1,Perspektywy2022_techn[[#This Row],[ocena parametryczna (10%)]:[Uprawnienia doktorskie (1%)]])</f>
        <v>8.1145999999999994</v>
      </c>
      <c r="K15">
        <v>63.75</v>
      </c>
      <c r="L15">
        <v>44.01</v>
      </c>
      <c r="M15">
        <v>16</v>
      </c>
      <c r="N15">
        <v>25.93</v>
      </c>
      <c r="O15">
        <f>SUMPRODUCT($P$1:$R$1,Perspektywy2022_techn[[#This Row],[patenty w Polsce (3%)]:[SDG (2%)]])</f>
        <v>2.1021999999999998</v>
      </c>
      <c r="P15">
        <v>34.229999999999997</v>
      </c>
      <c r="Q15">
        <v>5.03</v>
      </c>
      <c r="R15">
        <v>46.22</v>
      </c>
      <c r="S15">
        <f>SUMPRODUCT($T$1:$AA$1,Perspektywy2022_techn[[#This Row],[Finanse na badania (6%)]:[Top10 (3%)]])</f>
        <v>10.240499999999999</v>
      </c>
      <c r="T15">
        <v>37.229999999999997</v>
      </c>
      <c r="U15">
        <v>33.57</v>
      </c>
      <c r="V15">
        <v>39.79</v>
      </c>
      <c r="W15">
        <v>38.89</v>
      </c>
      <c r="X15">
        <v>29.17</v>
      </c>
      <c r="Y15">
        <v>36.18</v>
      </c>
      <c r="Z15">
        <v>35.24</v>
      </c>
      <c r="AA15">
        <v>42.86</v>
      </c>
      <c r="AB15">
        <f>SUMPRODUCT($W$1:$AA$1,Perspektywy2022_techn[[#This Row],[publikacje (3%)]:[Top10 (3%)]])</f>
        <v>5.4702000000000002</v>
      </c>
      <c r="AC15">
        <f>SUMPRODUCT($AD$1:$AE$1,Perspektywy2022_techn[[#This Row],[dostępność dla studentów (5%)]:[akredytacje (5%)]])</f>
        <v>2.7170000000000001</v>
      </c>
      <c r="AD15">
        <v>41.74</v>
      </c>
      <c r="AE15">
        <v>12.6</v>
      </c>
      <c r="AF15">
        <f>SUMPRODUCT($AG$1:$AO$1,Perspektywy2022_techn[[#This Row],[studia w j. obcych (3%)]:[Uniwersytety europejskie (1%)]])</f>
        <v>1.0993000000000002</v>
      </c>
      <c r="AG15">
        <v>0</v>
      </c>
      <c r="AH15">
        <v>1.5</v>
      </c>
      <c r="AI15">
        <v>3.23</v>
      </c>
      <c r="AJ15">
        <v>37.19</v>
      </c>
      <c r="AK15">
        <v>11.48</v>
      </c>
      <c r="AL15">
        <v>1.67</v>
      </c>
      <c r="AM15">
        <v>6.17</v>
      </c>
      <c r="AN15">
        <v>3.54</v>
      </c>
      <c r="AO15">
        <v>0</v>
      </c>
      <c r="AP15" s="46" t="s">
        <v>1376</v>
      </c>
      <c r="AQ15" s="8" t="b">
        <f>EXACT(Perspektywy2022_techn[[#This Row],[Nazwa uczelnie]],Perspektywy2022!$AP15)</f>
        <v>1</v>
      </c>
      <c r="AR15" s="47">
        <v>1</v>
      </c>
      <c r="AS15" s="8">
        <v>29982</v>
      </c>
      <c r="AT15" s="8">
        <v>28959</v>
      </c>
      <c r="AU15" s="8">
        <v>1023</v>
      </c>
      <c r="AV15" s="52">
        <v>2566.875</v>
      </c>
      <c r="AW15" s="53">
        <v>69.957142857142856</v>
      </c>
      <c r="AX15" s="53">
        <f>Perspektywy2022!$AV15*Perspektywy2022!$AW15/100</f>
        <v>1795.7124107142859</v>
      </c>
      <c r="AY15" s="52">
        <v>3617.2379999999998</v>
      </c>
      <c r="AZ15" s="53">
        <v>88.64</v>
      </c>
      <c r="BA15" s="52">
        <f>Perspektywy2022!$AY15*Perspektywy2022!$AZ15/100</f>
        <v>3206.3197631999997</v>
      </c>
      <c r="BB15" s="11">
        <v>0.64</v>
      </c>
      <c r="BC15" s="54">
        <v>0.85899999999999999</v>
      </c>
      <c r="BD15" s="28">
        <v>14</v>
      </c>
      <c r="BE15" s="2">
        <v>1087</v>
      </c>
      <c r="BF15" s="2" t="s">
        <v>1426</v>
      </c>
      <c r="BG15" s="2" t="s">
        <v>1376</v>
      </c>
      <c r="BH15" s="2" t="b">
        <f>EXACT(Perspektywy2022_techn[[#This Row],[Nazwa uczelnie]],BG15)</f>
        <v>1</v>
      </c>
      <c r="BI15" s="2">
        <v>653</v>
      </c>
      <c r="BJ15" s="2">
        <v>1751</v>
      </c>
      <c r="BK15" s="55">
        <v>1840</v>
      </c>
    </row>
    <row r="16" spans="1:63" x14ac:dyDescent="0.45">
      <c r="A16">
        <v>6</v>
      </c>
      <c r="B16">
        <v>13</v>
      </c>
      <c r="C16" t="s">
        <v>1368</v>
      </c>
      <c r="D16">
        <v>68.599999999999994</v>
      </c>
      <c r="E16">
        <f>SUMPRODUCT($G$1:$AO$1,Perspektywy2022_techn[[#This Row],[ocena przez kadrę akademicką (10%)]:[Uniwersytety europejskie (1%)]])</f>
        <v>46.264900000000011</v>
      </c>
      <c r="F16">
        <f>SUMPRODUCT($G$1:$H$1,Perspektywy2022_techn[[#This Row],[ocena przez kadrę akademicką (10%)]:[uznanie międzynarodowe 2%]])</f>
        <v>3.0548000000000006</v>
      </c>
      <c r="G16">
        <v>24.67</v>
      </c>
      <c r="H16">
        <v>29.39</v>
      </c>
      <c r="I16">
        <v>71.42</v>
      </c>
      <c r="J16">
        <f>SUMPRODUCT($K$1:$N$1,Perspektywy2022_techn[[#This Row],[ocena parametryczna (10%)]:[Uprawnienia doktorskie (1%)]])</f>
        <v>11.036900000000001</v>
      </c>
      <c r="K16">
        <v>82.57</v>
      </c>
      <c r="L16">
        <v>65.75</v>
      </c>
      <c r="M16">
        <v>40</v>
      </c>
      <c r="N16">
        <v>40.74</v>
      </c>
      <c r="O16">
        <f>SUMPRODUCT($P$1:$R$1,Perspektywy2022_techn[[#This Row],[patenty w Polsce (3%)]:[SDG (2%)]])</f>
        <v>3.1104000000000003</v>
      </c>
      <c r="P16">
        <v>24.99</v>
      </c>
      <c r="Q16">
        <v>28.23</v>
      </c>
      <c r="R16">
        <v>75.69</v>
      </c>
      <c r="S16">
        <f>SUMPRODUCT($T$1:$AA$1,Perspektywy2022_techn[[#This Row],[Finanse na badania (6%)]:[Top10 (3%)]])</f>
        <v>11.0555</v>
      </c>
      <c r="T16">
        <v>34.58</v>
      </c>
      <c r="U16">
        <v>32.36</v>
      </c>
      <c r="V16">
        <v>46.48</v>
      </c>
      <c r="W16">
        <v>58.61</v>
      </c>
      <c r="X16">
        <v>27.7</v>
      </c>
      <c r="Y16">
        <v>33.67</v>
      </c>
      <c r="Z16">
        <v>32.950000000000003</v>
      </c>
      <c r="AA16">
        <v>56.8</v>
      </c>
      <c r="AB16">
        <f>SUMPRODUCT($W$1:$AA$1,Perspektywy2022_techn[[#This Row],[publikacje (3%)]:[Top10 (3%)]])</f>
        <v>6.2918999999999992</v>
      </c>
      <c r="AC16">
        <f>SUMPRODUCT($AD$1:$AE$1,Perspektywy2022_techn[[#This Row],[dostępność dla studentów (5%)]:[akredytacje (5%)]])</f>
        <v>4.2885</v>
      </c>
      <c r="AD16">
        <v>59</v>
      </c>
      <c r="AE16">
        <v>26.77</v>
      </c>
      <c r="AF16">
        <f>SUMPRODUCT($AG$1:$AO$1,Perspektywy2022_techn[[#This Row],[studia w j. obcych (3%)]:[Uniwersytety europejskie (1%)]])</f>
        <v>5.1483999999999996</v>
      </c>
      <c r="AG16">
        <v>66.67</v>
      </c>
      <c r="AH16">
        <v>7.78</v>
      </c>
      <c r="AI16">
        <v>9.52</v>
      </c>
      <c r="AJ16">
        <v>36.200000000000003</v>
      </c>
      <c r="AK16">
        <v>15.25</v>
      </c>
      <c r="AL16">
        <v>9.7799999999999994</v>
      </c>
      <c r="AM16">
        <v>16.64</v>
      </c>
      <c r="AN16">
        <v>56.64</v>
      </c>
      <c r="AO16">
        <v>100</v>
      </c>
      <c r="AP16" s="48" t="s">
        <v>1368</v>
      </c>
      <c r="AQ16" s="11" t="b">
        <f>EXACT(Perspektywy2022_techn[[#This Row],[Nazwa uczelnie]],Perspektywy2022!$AP16)</f>
        <v>1</v>
      </c>
      <c r="AR16" s="49">
        <v>1</v>
      </c>
      <c r="AS16" s="11">
        <v>43341</v>
      </c>
      <c r="AT16" s="11">
        <v>42273</v>
      </c>
      <c r="AU16" s="11">
        <v>1068</v>
      </c>
      <c r="AV16" s="52">
        <v>3505.1457142857139</v>
      </c>
      <c r="AW16" s="53">
        <v>74.928571428571431</v>
      </c>
      <c r="AX16" s="53">
        <f>Perspektywy2022!$AV16*Perspektywy2022!$AW16/100</f>
        <v>2626.3556102040811</v>
      </c>
      <c r="AY16" s="52">
        <v>4782.2349999999997</v>
      </c>
      <c r="AZ16" s="53">
        <v>92.919999999999987</v>
      </c>
      <c r="BA16" s="52">
        <f>Perspektywy2022!$AY16*Perspektywy2022!$AZ16/100</f>
        <v>4443.6527619999988</v>
      </c>
      <c r="BB16" s="11">
        <v>0.77642857142857136</v>
      </c>
      <c r="BC16" s="54">
        <v>1.012</v>
      </c>
      <c r="BD16" s="28">
        <v>9</v>
      </c>
      <c r="BE16" s="2">
        <v>925</v>
      </c>
      <c r="BF16" s="2" t="s">
        <v>1421</v>
      </c>
      <c r="BG16" s="2" t="s">
        <v>1368</v>
      </c>
      <c r="BH16" s="2" t="b">
        <f>EXACT(Perspektywy2022_techn[[#This Row],[Nazwa uczelnie]],BG16)</f>
        <v>1</v>
      </c>
      <c r="BI16" s="2">
        <v>1437</v>
      </c>
      <c r="BJ16" s="2">
        <v>887</v>
      </c>
      <c r="BK16" s="55">
        <v>1048</v>
      </c>
    </row>
    <row r="17" spans="1:63" x14ac:dyDescent="0.45">
      <c r="A17">
        <v>15</v>
      </c>
      <c r="B17">
        <v>52</v>
      </c>
      <c r="C17" t="s">
        <v>1377</v>
      </c>
      <c r="D17" t="s">
        <v>1055</v>
      </c>
      <c r="E17">
        <f>SUMPRODUCT($G$1:$AO$1,Perspektywy2022_techn[[#This Row],[ocena przez kadrę akademicką (10%)]:[Uniwersytety europejskie (1%)]])</f>
        <v>32.494599999999991</v>
      </c>
      <c r="F17">
        <f>SUMPRODUCT($G$1:$H$1,Perspektywy2022_techn[[#This Row],[ocena przez kadrę akademicką (10%)]:[uznanie międzynarodowe 2%]])</f>
        <v>0.20099999999999998</v>
      </c>
      <c r="G17">
        <v>2.0099999999999998</v>
      </c>
      <c r="H17">
        <v>0</v>
      </c>
      <c r="I17">
        <v>56.9</v>
      </c>
      <c r="J17">
        <f>SUMPRODUCT($K$1:$N$1,Perspektywy2022_techn[[#This Row],[ocena parametryczna (10%)]:[Uprawnienia doktorskie (1%)]])</f>
        <v>8.0079999999999991</v>
      </c>
      <c r="K17">
        <v>64.599999999999994</v>
      </c>
      <c r="L17">
        <v>41.33</v>
      </c>
      <c r="M17">
        <v>16</v>
      </c>
      <c r="N17">
        <v>14.81</v>
      </c>
      <c r="O17">
        <f>SUMPRODUCT($P$1:$R$1,Perspektywy2022_techn[[#This Row],[patenty w Polsce (3%)]:[SDG (2%)]])</f>
        <v>2.7856999999999998</v>
      </c>
      <c r="P17">
        <v>24.57</v>
      </c>
      <c r="Q17">
        <v>43.72</v>
      </c>
      <c r="R17">
        <v>36.85</v>
      </c>
      <c r="S17">
        <f>SUMPRODUCT($T$1:$AA$1,Perspektywy2022_techn[[#This Row],[Finanse na badania (6%)]:[Top10 (3%)]])</f>
        <v>10.416299999999998</v>
      </c>
      <c r="T17">
        <v>50.51</v>
      </c>
      <c r="U17">
        <v>28.32</v>
      </c>
      <c r="V17">
        <v>41.51</v>
      </c>
      <c r="W17">
        <v>82.12</v>
      </c>
      <c r="X17">
        <v>14.18</v>
      </c>
      <c r="Y17">
        <v>23.12</v>
      </c>
      <c r="Z17">
        <v>26.07</v>
      </c>
      <c r="AA17">
        <v>21.43</v>
      </c>
      <c r="AB17">
        <f>SUMPRODUCT($W$1:$AA$1,Perspektywy2022_techn[[#This Row],[publikacje (3%)]:[Top10 (3%)]])</f>
        <v>5.0076000000000001</v>
      </c>
      <c r="AC17">
        <f>SUMPRODUCT($AD$1:$AE$1,Perspektywy2022_techn[[#This Row],[dostępność dla studentów (5%)]:[akredytacje (5%)]])</f>
        <v>2.6340000000000003</v>
      </c>
      <c r="AD17">
        <v>49.53</v>
      </c>
      <c r="AE17">
        <v>3.15</v>
      </c>
      <c r="AF17">
        <f>SUMPRODUCT($AG$1:$AO$1,Perspektywy2022_techn[[#This Row],[studia w j. obcych (3%)]:[Uniwersytety europejskie (1%)]])</f>
        <v>1.6215999999999999</v>
      </c>
      <c r="AG17">
        <v>5.56</v>
      </c>
      <c r="AH17">
        <v>3.13</v>
      </c>
      <c r="AI17">
        <v>10.51</v>
      </c>
      <c r="AJ17">
        <v>24.13</v>
      </c>
      <c r="AK17">
        <v>10.75</v>
      </c>
      <c r="AL17">
        <v>7.64</v>
      </c>
      <c r="AM17">
        <v>20.69</v>
      </c>
      <c r="AN17">
        <v>20.350000000000001</v>
      </c>
      <c r="AO17">
        <v>0</v>
      </c>
      <c r="AP17" s="46" t="s">
        <v>1377</v>
      </c>
      <c r="AQ17" s="8" t="b">
        <f>EXACT(Perspektywy2022_techn[[#This Row],[Nazwa uczelnie]],Perspektywy2022!$AP17)</f>
        <v>1</v>
      </c>
      <c r="AR17" s="47">
        <v>1</v>
      </c>
      <c r="AS17" s="8">
        <v>15109</v>
      </c>
      <c r="AT17" s="8">
        <v>14752</v>
      </c>
      <c r="AU17" s="8">
        <v>357</v>
      </c>
      <c r="AV17" s="52">
        <v>2631.9921428571429</v>
      </c>
      <c r="AW17" s="53">
        <v>70.064285714285717</v>
      </c>
      <c r="AX17" s="53">
        <f>Perspektywy2022!$AV17*Perspektywy2022!$AW17/100</f>
        <v>1844.0864949489799</v>
      </c>
      <c r="AY17" s="52">
        <v>3587.1589999999997</v>
      </c>
      <c r="AZ17" s="53">
        <v>90.65</v>
      </c>
      <c r="BA17" s="52">
        <f>Perspektywy2022!$AY17*Perspektywy2022!$AZ17/100</f>
        <v>3251.7596334999998</v>
      </c>
      <c r="BB17" s="11">
        <v>0.64071428571428579</v>
      </c>
      <c r="BC17" s="54">
        <v>0.83199999999999985</v>
      </c>
      <c r="BD17" s="28">
        <v>54</v>
      </c>
      <c r="BE17" s="2">
        <v>3209</v>
      </c>
      <c r="BF17" s="2" t="s">
        <v>1465</v>
      </c>
      <c r="BG17" s="2" t="s">
        <v>1377</v>
      </c>
      <c r="BH17" s="2" t="b">
        <f>EXACT(Perspektywy2022_techn[[#This Row],[Nazwa uczelnie]],BG17)</f>
        <v>1</v>
      </c>
      <c r="BI17" s="2">
        <v>7000</v>
      </c>
      <c r="BJ17" s="2">
        <v>2518</v>
      </c>
      <c r="BK17" s="55">
        <v>3337</v>
      </c>
    </row>
    <row r="18" spans="1:63" x14ac:dyDescent="0.45">
      <c r="A18">
        <v>1</v>
      </c>
      <c r="B18">
        <v>3</v>
      </c>
      <c r="C18" t="s">
        <v>1332</v>
      </c>
      <c r="D18">
        <v>84</v>
      </c>
      <c r="E18">
        <f>SUMPRODUCT($G$1:$AO$1,Perspektywy2022_techn[[#This Row],[ocena przez kadrę akademicką (10%)]:[Uniwersytety europejskie (1%)]])</f>
        <v>56.662199999999999</v>
      </c>
      <c r="F18">
        <f>SUMPRODUCT($G$1:$H$1,Perspektywy2022_techn[[#This Row],[ocena przez kadrę akademicką (10%)]:[uznanie międzynarodowe 2%]])</f>
        <v>6.7942000000000009</v>
      </c>
      <c r="G18">
        <v>57.63</v>
      </c>
      <c r="H18">
        <v>51.56</v>
      </c>
      <c r="I18">
        <v>86.54</v>
      </c>
      <c r="J18">
        <f>SUMPRODUCT($K$1:$N$1,Perspektywy2022_techn[[#This Row],[ocena parametryczna (10%)]:[Uprawnienia doktorskie (1%)]])</f>
        <v>10.173400000000001</v>
      </c>
      <c r="K18">
        <v>76.5</v>
      </c>
      <c r="L18">
        <v>50.73</v>
      </c>
      <c r="M18">
        <v>52</v>
      </c>
      <c r="N18">
        <v>48.15</v>
      </c>
      <c r="O18">
        <f>SUMPRODUCT($P$1:$R$1,Perspektywy2022_techn[[#This Row],[patenty w Polsce (3%)]:[SDG (2%)]])</f>
        <v>2.2214999999999998</v>
      </c>
      <c r="P18">
        <v>13.77</v>
      </c>
      <c r="Q18">
        <v>17.16</v>
      </c>
      <c r="R18">
        <v>64.680000000000007</v>
      </c>
      <c r="S18">
        <f>SUMPRODUCT($T$1:$AA$1,Perspektywy2022_techn[[#This Row],[Finanse na badania (6%)]:[Top10 (3%)]])</f>
        <v>14.5633</v>
      </c>
      <c r="T18">
        <v>55.72</v>
      </c>
      <c r="U18">
        <v>35.29</v>
      </c>
      <c r="V18">
        <v>58.54</v>
      </c>
      <c r="W18">
        <v>68.86</v>
      </c>
      <c r="X18">
        <v>37.07</v>
      </c>
      <c r="Y18">
        <v>35.18</v>
      </c>
      <c r="Z18">
        <v>50.43</v>
      </c>
      <c r="AA18">
        <v>76.87</v>
      </c>
      <c r="AB18">
        <f>SUMPRODUCT($W$1:$AA$1,Perspektywy2022_techn[[#This Row],[publikacje (3%)]:[Top10 (3%)]])</f>
        <v>8.0523000000000007</v>
      </c>
      <c r="AC18">
        <f>SUMPRODUCT($AD$1:$AE$1,Perspektywy2022_techn[[#This Row],[dostępność dla studentów (5%)]:[akredytacje (5%)]])</f>
        <v>5.1835000000000004</v>
      </c>
      <c r="AD18">
        <v>52.49</v>
      </c>
      <c r="AE18">
        <v>51.18</v>
      </c>
      <c r="AF18">
        <f>SUMPRODUCT($AG$1:$AO$1,Perspektywy2022_techn[[#This Row],[studia w j. obcych (3%)]:[Uniwersytety europejskie (1%)]])</f>
        <v>7.3414999999999999</v>
      </c>
      <c r="AG18">
        <v>88.89</v>
      </c>
      <c r="AH18">
        <v>16.23</v>
      </c>
      <c r="AI18">
        <v>23.53</v>
      </c>
      <c r="AJ18">
        <v>54.21</v>
      </c>
      <c r="AK18">
        <v>15.72</v>
      </c>
      <c r="AL18">
        <v>23.42</v>
      </c>
      <c r="AM18">
        <v>25.72</v>
      </c>
      <c r="AN18">
        <v>91.15</v>
      </c>
      <c r="AO18">
        <v>100</v>
      </c>
      <c r="AP18" s="48" t="s">
        <v>1332</v>
      </c>
      <c r="AQ18" s="11" t="b">
        <f>EXACT(Perspektywy2022_techn[[#This Row],[Nazwa uczelnie]],Perspektywy2022!$AP18)</f>
        <v>1</v>
      </c>
      <c r="AR18" s="49">
        <v>1</v>
      </c>
      <c r="AS18" s="11">
        <v>44765</v>
      </c>
      <c r="AT18" s="11">
        <v>41926</v>
      </c>
      <c r="AU18" s="11">
        <v>2839</v>
      </c>
      <c r="AV18" s="52">
        <v>4717.5723529411762</v>
      </c>
      <c r="AW18" s="53">
        <v>71.588235294117652</v>
      </c>
      <c r="AX18" s="53">
        <f>Perspektywy2022!$AV18*Perspektywy2022!$AW18/100</f>
        <v>3377.2267961937719</v>
      </c>
      <c r="AY18" s="52">
        <v>6245.0607692307685</v>
      </c>
      <c r="AZ18" s="53">
        <v>86.561538461538461</v>
      </c>
      <c r="BA18" s="52">
        <f>Perspektywy2022!$AY18*Perspektywy2022!$AZ18/100</f>
        <v>5405.8206797041421</v>
      </c>
      <c r="BB18" s="11">
        <v>0.98882352941176466</v>
      </c>
      <c r="BC18" s="54">
        <v>1.2192307692307691</v>
      </c>
      <c r="BD18" s="28">
        <v>5</v>
      </c>
      <c r="BE18" s="2">
        <v>642</v>
      </c>
      <c r="BF18" s="2" t="s">
        <v>1417</v>
      </c>
      <c r="BG18" s="2" t="s">
        <v>1332</v>
      </c>
      <c r="BH18" s="2" t="b">
        <f>EXACT(Perspektywy2022_techn[[#This Row],[Nazwa uczelnie]],BG18)</f>
        <v>1</v>
      </c>
      <c r="BI18" s="2">
        <v>810</v>
      </c>
      <c r="BJ18" s="2">
        <v>688</v>
      </c>
      <c r="BK18" s="55">
        <v>763</v>
      </c>
    </row>
    <row r="19" spans="1:63" x14ac:dyDescent="0.45">
      <c r="A19">
        <v>4</v>
      </c>
      <c r="B19">
        <v>7</v>
      </c>
      <c r="C19" t="s">
        <v>1366</v>
      </c>
      <c r="D19">
        <v>72.599999999999994</v>
      </c>
      <c r="E19">
        <f>SUMPRODUCT($G$1:$AO$1,Perspektywy2022_techn[[#This Row],[ocena przez kadrę akademicką (10%)]:[Uniwersytety europejskie (1%)]])</f>
        <v>48.981100000000012</v>
      </c>
      <c r="F19">
        <f>SUMPRODUCT($G$1:$H$1,Perspektywy2022_techn[[#This Row],[ocena przez kadrę akademicką (10%)]:[uznanie międzynarodowe 2%]])</f>
        <v>4.7624000000000004</v>
      </c>
      <c r="G19">
        <v>40.340000000000003</v>
      </c>
      <c r="H19">
        <v>36.42</v>
      </c>
      <c r="I19">
        <v>78.989999999999995</v>
      </c>
      <c r="J19">
        <f>SUMPRODUCT($K$1:$N$1,Perspektywy2022_techn[[#This Row],[ocena parametryczna (10%)]:[Uprawnienia doktorskie (1%)]])</f>
        <v>10.669699999999999</v>
      </c>
      <c r="K19">
        <v>84.35</v>
      </c>
      <c r="L19">
        <v>45.01</v>
      </c>
      <c r="M19">
        <v>44</v>
      </c>
      <c r="N19">
        <v>44.44</v>
      </c>
      <c r="O19">
        <f>SUMPRODUCT($P$1:$R$1,Perspektywy2022_techn[[#This Row],[patenty w Polsce (3%)]:[SDG (2%)]])</f>
        <v>2.2877000000000001</v>
      </c>
      <c r="P19">
        <v>22.87</v>
      </c>
      <c r="Q19">
        <v>8.24</v>
      </c>
      <c r="R19">
        <v>67.72</v>
      </c>
      <c r="S19">
        <f>SUMPRODUCT($T$1:$AA$1,Perspektywy2022_techn[[#This Row],[Finanse na badania (6%)]:[Top10 (3%)]])</f>
        <v>12.119</v>
      </c>
      <c r="T19">
        <v>42.73</v>
      </c>
      <c r="U19">
        <v>36.86</v>
      </c>
      <c r="V19">
        <v>50.46</v>
      </c>
      <c r="W19">
        <v>62.67</v>
      </c>
      <c r="X19">
        <v>29.02</v>
      </c>
      <c r="Y19">
        <v>30.65</v>
      </c>
      <c r="Z19">
        <v>32.950000000000003</v>
      </c>
      <c r="AA19">
        <v>63.61</v>
      </c>
      <c r="AB19">
        <f>SUMPRODUCT($W$1:$AA$1,Perspektywy2022_techn[[#This Row],[publikacje (3%)]:[Top10 (3%)]])</f>
        <v>6.5669999999999993</v>
      </c>
      <c r="AC19">
        <f>SUMPRODUCT($AD$1:$AE$1,Perspektywy2022_techn[[#This Row],[dostępność dla studentów (5%)]:[akredytacje (5%)]])</f>
        <v>3.8170000000000002</v>
      </c>
      <c r="AD19">
        <v>46.42</v>
      </c>
      <c r="AE19">
        <v>29.92</v>
      </c>
      <c r="AF19">
        <f>SUMPRODUCT($AG$1:$AO$1,Perspektywy2022_techn[[#This Row],[studia w j. obcych (3%)]:[Uniwersytety europejskie (1%)]])</f>
        <v>5.8464999999999998</v>
      </c>
      <c r="AG19">
        <v>72.22</v>
      </c>
      <c r="AH19">
        <v>4.99</v>
      </c>
      <c r="AI19">
        <v>14.35</v>
      </c>
      <c r="AJ19">
        <v>49.42</v>
      </c>
      <c r="AK19">
        <v>16.21</v>
      </c>
      <c r="AL19">
        <v>15.47</v>
      </c>
      <c r="AM19">
        <v>25.15</v>
      </c>
      <c r="AN19">
        <v>59.29</v>
      </c>
      <c r="AO19">
        <v>100</v>
      </c>
      <c r="AP19" s="46" t="s">
        <v>1366</v>
      </c>
      <c r="AQ19" s="8" t="b">
        <f>EXACT(Perspektywy2022_techn[[#This Row],[Nazwa uczelnie]],Perspektywy2022!$AP19)</f>
        <v>1</v>
      </c>
      <c r="AR19" s="47">
        <v>1</v>
      </c>
      <c r="AS19" s="8">
        <v>52236</v>
      </c>
      <c r="AT19" s="8">
        <v>50013</v>
      </c>
      <c r="AU19" s="8">
        <v>2223</v>
      </c>
      <c r="AV19" s="52">
        <v>3722.4480000000008</v>
      </c>
      <c r="AW19" s="53">
        <v>68.56</v>
      </c>
      <c r="AX19" s="53">
        <f>Perspektywy2022!$AV19*Perspektywy2022!$AW19/100</f>
        <v>2552.1103488000003</v>
      </c>
      <c r="AY19" s="52">
        <v>5297.5472727272727</v>
      </c>
      <c r="AZ19" s="53">
        <v>88.018181818181816</v>
      </c>
      <c r="BA19" s="52">
        <f>Perspektywy2022!$AY19*Perspektywy2022!$AZ19/100</f>
        <v>4662.8047904132227</v>
      </c>
      <c r="BB19" s="11">
        <v>0.84066666666666667</v>
      </c>
      <c r="BC19" s="54">
        <v>1.1390909090909092</v>
      </c>
      <c r="BD19" s="28">
        <v>8</v>
      </c>
      <c r="BE19" s="2">
        <v>908</v>
      </c>
      <c r="BF19" s="2" t="s">
        <v>1420</v>
      </c>
      <c r="BG19" s="2" t="s">
        <v>1366</v>
      </c>
      <c r="BH19" s="2" t="b">
        <f>EXACT(Perspektywy2022_techn[[#This Row],[Nazwa uczelnie]],BG19)</f>
        <v>1</v>
      </c>
      <c r="BI19" s="2">
        <v>1683</v>
      </c>
      <c r="BJ19" s="2">
        <v>856</v>
      </c>
      <c r="BK19" s="55">
        <v>917</v>
      </c>
    </row>
    <row r="20" spans="1:63" x14ac:dyDescent="0.45">
      <c r="A20">
        <v>19</v>
      </c>
      <c r="B20">
        <v>61</v>
      </c>
      <c r="C20" t="s">
        <v>1380</v>
      </c>
      <c r="D20" t="s">
        <v>1055</v>
      </c>
      <c r="E20">
        <f>SUMPRODUCT($G$1:$AO$1,Perspektywy2022_techn[[#This Row],[ocena przez kadrę akademicką (10%)]:[Uniwersytety europejskie (1%)]])</f>
        <v>29.954200000000007</v>
      </c>
      <c r="F20">
        <f>SUMPRODUCT($G$1:$H$1,Perspektywy2022_techn[[#This Row],[ocena przez kadrę akademicką (10%)]:[uznanie międzynarodowe 2%]])</f>
        <v>0.11399999999999999</v>
      </c>
      <c r="G20">
        <v>1.1399999999999999</v>
      </c>
      <c r="H20">
        <v>0</v>
      </c>
      <c r="I20">
        <v>63.49</v>
      </c>
      <c r="J20">
        <f>SUMPRODUCT($K$1:$N$1,Perspektywy2022_techn[[#This Row],[ocena parametryczna (10%)]:[Uprawnienia doktorskie (1%)]])</f>
        <v>6.5881000000000007</v>
      </c>
      <c r="K20">
        <v>53.13</v>
      </c>
      <c r="L20">
        <v>34.9</v>
      </c>
      <c r="M20">
        <v>8</v>
      </c>
      <c r="N20">
        <v>14.81</v>
      </c>
      <c r="O20">
        <f>SUMPRODUCT($P$1:$R$1,Perspektywy2022_techn[[#This Row],[patenty w Polsce (3%)]:[SDG (2%)]])</f>
        <v>2.4007000000000001</v>
      </c>
      <c r="P20">
        <v>4.71</v>
      </c>
      <c r="Q20">
        <v>47.64</v>
      </c>
      <c r="R20">
        <v>41.51</v>
      </c>
      <c r="S20">
        <f>SUMPRODUCT($T$1:$AA$1,Perspektywy2022_techn[[#This Row],[Finanse na badania (6%)]:[Top10 (3%)]])</f>
        <v>9.7448999999999995</v>
      </c>
      <c r="T20">
        <v>49.15</v>
      </c>
      <c r="U20">
        <v>19.38</v>
      </c>
      <c r="V20">
        <v>24.28</v>
      </c>
      <c r="W20">
        <v>42.04</v>
      </c>
      <c r="X20">
        <v>22.81</v>
      </c>
      <c r="Y20">
        <v>32.659999999999997</v>
      </c>
      <c r="Z20">
        <v>25.5</v>
      </c>
      <c r="AA20">
        <v>53.4</v>
      </c>
      <c r="AB20">
        <f>SUMPRODUCT($W$1:$AA$1,Perspektywy2022_techn[[#This Row],[publikacje (3%)]:[Top10 (3%)]])</f>
        <v>5.2922999999999991</v>
      </c>
      <c r="AC20">
        <f>SUMPRODUCT($AD$1:$AE$1,Perspektywy2022_techn[[#This Row],[dostępność dla studentów (5%)]:[akredytacje (5%)]])</f>
        <v>2.024</v>
      </c>
      <c r="AD20">
        <v>40.479999999999997</v>
      </c>
      <c r="AE20">
        <v>0</v>
      </c>
      <c r="AF20">
        <f>SUMPRODUCT($AG$1:$AO$1,Perspektywy2022_techn[[#This Row],[studia w j. obcych (3%)]:[Uniwersytety europejskie (1%)]])</f>
        <v>1.4637000000000002</v>
      </c>
      <c r="AG20">
        <v>0</v>
      </c>
      <c r="AH20">
        <v>0</v>
      </c>
      <c r="AI20">
        <v>8.07</v>
      </c>
      <c r="AJ20">
        <v>22.98</v>
      </c>
      <c r="AK20">
        <v>15.83</v>
      </c>
      <c r="AL20">
        <v>31.75</v>
      </c>
      <c r="AM20">
        <v>20.66</v>
      </c>
      <c r="AN20">
        <v>7.96</v>
      </c>
      <c r="AO20">
        <v>0</v>
      </c>
      <c r="AP20" s="48" t="s">
        <v>1380</v>
      </c>
      <c r="AQ20" s="11" t="b">
        <f>EXACT(Perspektywy2022_techn[[#This Row],[Nazwa uczelnie]],Perspektywy2022!$AP20)</f>
        <v>1</v>
      </c>
      <c r="AR20" s="49">
        <v>1</v>
      </c>
      <c r="AS20" s="11">
        <v>5600</v>
      </c>
      <c r="AT20" s="11">
        <v>5289</v>
      </c>
      <c r="AU20" s="11">
        <v>311</v>
      </c>
      <c r="AV20" s="52">
        <v>3006.7799999999997</v>
      </c>
      <c r="AW20" s="53">
        <v>72.47</v>
      </c>
      <c r="AX20" s="53">
        <f>Perspektywy2022!$AV20*Perspektywy2022!$AW20/100</f>
        <v>2179.0134659999999</v>
      </c>
      <c r="AY20" s="52">
        <v>4217.7749999999996</v>
      </c>
      <c r="AZ20" s="53">
        <v>79.709999999999994</v>
      </c>
      <c r="BA20" s="52">
        <f>Perspektywy2022!$AY20*Perspektywy2022!$AZ20/100</f>
        <v>3361.9884524999998</v>
      </c>
      <c r="BB20" s="11">
        <v>0.71100000000000008</v>
      </c>
      <c r="BC20" s="54">
        <v>0.88300000000000001</v>
      </c>
      <c r="BD20" s="28">
        <v>52</v>
      </c>
      <c r="BE20" s="2">
        <v>3057</v>
      </c>
      <c r="BF20" s="2" t="s">
        <v>1464</v>
      </c>
      <c r="BG20" s="2" t="s">
        <v>1380</v>
      </c>
      <c r="BH20" s="2" t="b">
        <f>EXACT(Perspektywy2022_techn[[#This Row],[Nazwa uczelnie]],BG20)</f>
        <v>1</v>
      </c>
      <c r="BI20" s="2">
        <v>6169</v>
      </c>
      <c r="BJ20" s="2">
        <v>3127</v>
      </c>
      <c r="BK20" s="55">
        <v>3152</v>
      </c>
    </row>
    <row r="21" spans="1:63" x14ac:dyDescent="0.45">
      <c r="A21">
        <v>22</v>
      </c>
      <c r="B21">
        <v>80</v>
      </c>
      <c r="C21" t="s">
        <v>1383</v>
      </c>
      <c r="D21" t="s">
        <v>1055</v>
      </c>
      <c r="E21">
        <f>SUMPRODUCT($G$1:$AO$1,Perspektywy2022_techn[[#This Row],[ocena przez kadrę akademicką (10%)]:[Uniwersytety europejskie (1%)]])</f>
        <v>26.508199999999999</v>
      </c>
      <c r="F21">
        <f>SUMPRODUCT($G$1:$H$1,Perspektywy2022_techn[[#This Row],[ocena przez kadrę akademicką (10%)]:[uznanie międzynarodowe 2%]])</f>
        <v>2.2000000000000002E-2</v>
      </c>
      <c r="G21">
        <v>0.22</v>
      </c>
      <c r="H21">
        <v>0</v>
      </c>
      <c r="I21">
        <v>61.22</v>
      </c>
      <c r="J21">
        <f>SUMPRODUCT($K$1:$N$1,Perspektywy2022_techn[[#This Row],[ocena parametryczna (10%)]:[Uprawnienia doktorskie (1%)]])</f>
        <v>6.7492999999999999</v>
      </c>
      <c r="K21">
        <v>46.75</v>
      </c>
      <c r="L21">
        <v>59.07</v>
      </c>
      <c r="M21">
        <v>8</v>
      </c>
      <c r="N21">
        <v>22.22</v>
      </c>
      <c r="O21">
        <f>SUMPRODUCT($P$1:$R$1,Perspektywy2022_techn[[#This Row],[patenty w Polsce (3%)]:[SDG (2%)]])</f>
        <v>1.1114999999999999</v>
      </c>
      <c r="P21">
        <v>18.63</v>
      </c>
      <c r="Q21">
        <v>0</v>
      </c>
      <c r="R21">
        <v>27.63</v>
      </c>
      <c r="S21">
        <f>SUMPRODUCT($T$1:$AA$1,Perspektywy2022_techn[[#This Row],[Finanse na badania (6%)]:[Top10 (3%)]])</f>
        <v>7.1382000000000003</v>
      </c>
      <c r="T21">
        <v>14.83</v>
      </c>
      <c r="U21">
        <v>35.07</v>
      </c>
      <c r="V21">
        <v>14.64</v>
      </c>
      <c r="W21">
        <v>30.12</v>
      </c>
      <c r="X21">
        <v>23.25</v>
      </c>
      <c r="Y21">
        <v>30.65</v>
      </c>
      <c r="Z21">
        <v>31.23</v>
      </c>
      <c r="AA21">
        <v>31.63</v>
      </c>
      <c r="AB21">
        <f>SUMPRODUCT($W$1:$AA$1,Perspektywy2022_techn[[#This Row],[publikacje (3%)]:[Top10 (3%)]])</f>
        <v>4.4063999999999997</v>
      </c>
      <c r="AC21">
        <f>SUMPRODUCT($AD$1:$AE$1,Perspektywy2022_techn[[#This Row],[dostępność dla studentów (5%)]:[akredytacje (5%)]])</f>
        <v>2.681</v>
      </c>
      <c r="AD21">
        <v>53.62</v>
      </c>
      <c r="AE21">
        <v>0</v>
      </c>
      <c r="AF21">
        <f>SUMPRODUCT($AG$1:$AO$1,Perspektywy2022_techn[[#This Row],[studia w j. obcych (3%)]:[Uniwersytety europejskie (1%)]])</f>
        <v>1.4598</v>
      </c>
      <c r="AG21">
        <v>0</v>
      </c>
      <c r="AH21">
        <v>0</v>
      </c>
      <c r="AI21">
        <v>4.25</v>
      </c>
      <c r="AJ21">
        <v>47.11</v>
      </c>
      <c r="AK21">
        <v>16.18</v>
      </c>
      <c r="AL21">
        <v>7.46</v>
      </c>
      <c r="AM21">
        <v>8.2899999999999991</v>
      </c>
      <c r="AN21">
        <v>7.08</v>
      </c>
      <c r="AO21">
        <v>0</v>
      </c>
      <c r="AP21" s="46" t="s">
        <v>1383</v>
      </c>
      <c r="AQ21" s="8" t="b">
        <f>EXACT(Perspektywy2022_techn[[#This Row],[Nazwa uczelnie]],Perspektywy2022!$AP21)</f>
        <v>1</v>
      </c>
      <c r="AR21" s="47">
        <v>1</v>
      </c>
      <c r="AS21" s="8">
        <v>11356</v>
      </c>
      <c r="AT21" s="8">
        <v>10981</v>
      </c>
      <c r="AU21" s="8">
        <v>375</v>
      </c>
      <c r="AV21" s="52">
        <v>2840.6580000000004</v>
      </c>
      <c r="AW21" s="53">
        <v>77.086666666666673</v>
      </c>
      <c r="AX21" s="53">
        <f>Perspektywy2022!$AV21*Perspektywy2022!$AW21/100</f>
        <v>2189.7685636000006</v>
      </c>
      <c r="AY21" s="52">
        <v>3577.2779999999998</v>
      </c>
      <c r="AZ21" s="53">
        <v>87.360000000000014</v>
      </c>
      <c r="BA21" s="52">
        <f>Perspektywy2022!$AY21*Perspektywy2022!$AZ21/100</f>
        <v>3125.1100608000002</v>
      </c>
      <c r="BB21" s="11">
        <v>0.67466666666666675</v>
      </c>
      <c r="BC21" s="54">
        <v>0.81399999999999983</v>
      </c>
      <c r="BD21" s="28">
        <v>73</v>
      </c>
      <c r="BE21" s="2">
        <v>4906</v>
      </c>
      <c r="BF21" s="2" t="s">
        <v>1484</v>
      </c>
      <c r="BG21" s="2" t="s">
        <v>1383</v>
      </c>
      <c r="BH21" s="2" t="b">
        <f>EXACT(Perspektywy2022_techn[[#This Row],[Nazwa uczelnie]],BG21)</f>
        <v>1</v>
      </c>
      <c r="BI21" s="2">
        <v>8572</v>
      </c>
      <c r="BJ21" s="2">
        <v>6553</v>
      </c>
      <c r="BK21" s="55">
        <v>4193</v>
      </c>
    </row>
    <row r="22" spans="1:63" x14ac:dyDescent="0.45">
      <c r="A22">
        <v>16</v>
      </c>
      <c r="B22">
        <v>61</v>
      </c>
      <c r="C22" t="s">
        <v>1410</v>
      </c>
      <c r="D22" t="s">
        <v>1055</v>
      </c>
      <c r="E22">
        <f>SUMPRODUCT($G$1:$AO$1,Perspektywy2022_techn[[#This Row],[ocena przez kadrę akademicką (10%)]:[Uniwersytety europejskie (1%)]])</f>
        <v>31.923700000000004</v>
      </c>
      <c r="F22">
        <f>SUMPRODUCT($G$1:$H$1,Perspektywy2022_techn[[#This Row],[ocena przez kadrę akademicką (10%)]:[uznanie międzynarodowe 2%]])</f>
        <v>0.10100000000000001</v>
      </c>
      <c r="G22">
        <v>1.01</v>
      </c>
      <c r="H22">
        <v>0</v>
      </c>
      <c r="I22">
        <v>68.12</v>
      </c>
      <c r="J22">
        <f>SUMPRODUCT($K$1:$N$1,Perspektywy2022_techn[[#This Row],[ocena parametryczna (10%)]:[Uprawnienia doktorskie (1%)]])</f>
        <v>7.5548000000000002</v>
      </c>
      <c r="K22">
        <v>55.86</v>
      </c>
      <c r="L22">
        <v>51.75</v>
      </c>
      <c r="M22">
        <v>12</v>
      </c>
      <c r="N22">
        <v>29.63</v>
      </c>
      <c r="O22">
        <f>SUMPRODUCT($P$1:$R$1,Perspektywy2022_techn[[#This Row],[patenty w Polsce (3%)]:[SDG (2%)]])</f>
        <v>2.2837999999999998</v>
      </c>
      <c r="P22">
        <v>34.56</v>
      </c>
      <c r="Q22">
        <v>10.06</v>
      </c>
      <c r="R22">
        <v>47.26</v>
      </c>
      <c r="S22">
        <f>SUMPRODUCT($T$1:$AA$1,Perspektywy2022_techn[[#This Row],[Finanse na badania (6%)]:[Top10 (3%)]])</f>
        <v>9.7271000000000001</v>
      </c>
      <c r="T22">
        <v>30.61</v>
      </c>
      <c r="U22">
        <v>30.2</v>
      </c>
      <c r="V22">
        <v>32.229999999999997</v>
      </c>
      <c r="W22">
        <v>41.37</v>
      </c>
      <c r="X22">
        <v>30.5</v>
      </c>
      <c r="Y22">
        <v>38.19</v>
      </c>
      <c r="Z22">
        <v>33.520000000000003</v>
      </c>
      <c r="AA22">
        <v>46.94</v>
      </c>
      <c r="AB22">
        <f>SUMPRODUCT($W$1:$AA$1,Perspektywy2022_techn[[#This Row],[publikacje (3%)]:[Top10 (3%)]])</f>
        <v>5.7156000000000002</v>
      </c>
      <c r="AC22">
        <f>SUMPRODUCT($AD$1:$AE$1,Perspektywy2022_techn[[#This Row],[dostępność dla studentów (5%)]:[akredytacje (5%)]])</f>
        <v>2.5745000000000005</v>
      </c>
      <c r="AD22">
        <v>51.49</v>
      </c>
      <c r="AE22">
        <v>0</v>
      </c>
      <c r="AF22">
        <f>SUMPRODUCT($AG$1:$AO$1,Perspektywy2022_techn[[#This Row],[studia w j. obcych (3%)]:[Uniwersytety europejskie (1%)]])</f>
        <v>1.5081</v>
      </c>
      <c r="AG22">
        <v>0</v>
      </c>
      <c r="AH22">
        <v>0</v>
      </c>
      <c r="AI22">
        <v>2.42</v>
      </c>
      <c r="AJ22">
        <v>41.82</v>
      </c>
      <c r="AK22">
        <v>17.88</v>
      </c>
      <c r="AL22">
        <v>4.66</v>
      </c>
      <c r="AM22">
        <v>32.06</v>
      </c>
      <c r="AN22">
        <v>5.31</v>
      </c>
      <c r="AO22">
        <v>0</v>
      </c>
      <c r="AP22" s="48" t="s">
        <v>1410</v>
      </c>
      <c r="AQ22" s="11" t="b">
        <f>EXACT(Perspektywy2022_techn[[#This Row],[Nazwa uczelnie]],Perspektywy2022!$AP22)</f>
        <v>1</v>
      </c>
      <c r="AR22" s="49">
        <v>1</v>
      </c>
      <c r="AS22" s="11">
        <v>11651</v>
      </c>
      <c r="AT22" s="11">
        <v>11128</v>
      </c>
      <c r="AU22" s="11">
        <v>523</v>
      </c>
      <c r="AV22" s="52">
        <v>3205.3228571428567</v>
      </c>
      <c r="AW22" s="53">
        <v>75.871428571428552</v>
      </c>
      <c r="AX22" s="53">
        <f>Perspektywy2022!$AV22*Perspektywy2022!$AW22/100</f>
        <v>2431.9242420408154</v>
      </c>
      <c r="AY22" s="52">
        <v>4079.9170000000004</v>
      </c>
      <c r="AZ22" s="53">
        <v>89.249999999999986</v>
      </c>
      <c r="BA22" s="52">
        <f>Perspektywy2022!$AY22*Perspektywy2022!$AZ22/100</f>
        <v>3641.3259224999997</v>
      </c>
      <c r="BB22" s="11">
        <v>0.77142857142857135</v>
      </c>
      <c r="BC22" s="54">
        <v>0.93300000000000005</v>
      </c>
      <c r="BD22" s="28">
        <v>47</v>
      </c>
      <c r="BE22" s="2">
        <v>2788</v>
      </c>
      <c r="BF22" s="2" t="s">
        <v>1459</v>
      </c>
      <c r="BG22" s="2" t="s">
        <v>1410</v>
      </c>
      <c r="BH22" s="2" t="b">
        <f>EXACT(Perspektywy2022_techn[[#This Row],[Nazwa uczelnie]],BG22)</f>
        <v>1</v>
      </c>
      <c r="BI22" s="2">
        <v>5695</v>
      </c>
      <c r="BJ22" s="2">
        <v>3799</v>
      </c>
      <c r="BK22" s="55">
        <v>2607</v>
      </c>
    </row>
    <row r="23" spans="1:63" x14ac:dyDescent="0.45">
      <c r="A23">
        <v>12</v>
      </c>
      <c r="B23">
        <v>47</v>
      </c>
      <c r="C23" t="s">
        <v>1374</v>
      </c>
      <c r="D23">
        <v>51.8</v>
      </c>
      <c r="E23">
        <f>SUMPRODUCT($G$1:$AO$1,Perspektywy2022_techn[[#This Row],[ocena przez kadrę akademicką (10%)]:[Uniwersytety europejskie (1%)]])</f>
        <v>34.972299999999997</v>
      </c>
      <c r="F23">
        <f>SUMPRODUCT($G$1:$H$1,Perspektywy2022_techn[[#This Row],[ocena przez kadrę akademicką (10%)]:[uznanie międzynarodowe 2%]])</f>
        <v>0.83000000000000007</v>
      </c>
      <c r="G23">
        <v>8.3000000000000007</v>
      </c>
      <c r="H23">
        <v>0</v>
      </c>
      <c r="I23">
        <v>79.650000000000006</v>
      </c>
      <c r="J23">
        <f>SUMPRODUCT($K$1:$N$1,Perspektywy2022_techn[[#This Row],[ocena parametryczna (10%)]:[Uprawnienia doktorskie (1%)]])</f>
        <v>8.3844999999999992</v>
      </c>
      <c r="K23">
        <v>69.06</v>
      </c>
      <c r="L23">
        <v>32.64</v>
      </c>
      <c r="M23">
        <v>24</v>
      </c>
      <c r="N23">
        <v>25.93</v>
      </c>
      <c r="O23">
        <f>SUMPRODUCT($P$1:$R$1,Perspektywy2022_techn[[#This Row],[patenty w Polsce (3%)]:[SDG (2%)]])</f>
        <v>0.62860000000000005</v>
      </c>
      <c r="P23">
        <v>5.22</v>
      </c>
      <c r="Q23">
        <v>0</v>
      </c>
      <c r="R23">
        <v>23.6</v>
      </c>
      <c r="S23">
        <f>SUMPRODUCT($T$1:$AA$1,Perspektywy2022_techn[[#This Row],[Finanse na badania (6%)]:[Top10 (3%)]])</f>
        <v>10.116799999999998</v>
      </c>
      <c r="T23">
        <v>43.44</v>
      </c>
      <c r="U23">
        <v>17.66</v>
      </c>
      <c r="V23">
        <v>29.05</v>
      </c>
      <c r="W23">
        <v>66.87</v>
      </c>
      <c r="X23">
        <v>20.3</v>
      </c>
      <c r="Y23">
        <v>23.12</v>
      </c>
      <c r="Z23">
        <v>36.1</v>
      </c>
      <c r="AA23">
        <v>51.36</v>
      </c>
      <c r="AB23">
        <f>SUMPRODUCT($W$1:$AA$1,Perspektywy2022_techn[[#This Row],[publikacje (3%)]:[Top10 (3%)]])</f>
        <v>5.9325000000000001</v>
      </c>
      <c r="AC23">
        <f>SUMPRODUCT($AD$1:$AE$1,Perspektywy2022_techn[[#This Row],[dostępność dla studentów (5%)]:[akredytacje (5%)]])</f>
        <v>4.3864999999999998</v>
      </c>
      <c r="AD23">
        <v>84.58</v>
      </c>
      <c r="AE23">
        <v>3.15</v>
      </c>
      <c r="AF23">
        <f>SUMPRODUCT($AG$1:$AO$1,Perspektywy2022_techn[[#This Row],[studia w j. obcych (3%)]:[Uniwersytety europejskie (1%)]])</f>
        <v>1.0679000000000001</v>
      </c>
      <c r="AG23">
        <v>0</v>
      </c>
      <c r="AH23">
        <v>0</v>
      </c>
      <c r="AI23">
        <v>2.31</v>
      </c>
      <c r="AJ23">
        <v>31.57</v>
      </c>
      <c r="AK23">
        <v>3.97</v>
      </c>
      <c r="AL23">
        <v>15.8</v>
      </c>
      <c r="AM23">
        <v>11.64</v>
      </c>
      <c r="AN23">
        <v>5.31</v>
      </c>
      <c r="AO23">
        <v>0</v>
      </c>
      <c r="AP23" s="46" t="s">
        <v>1374</v>
      </c>
      <c r="AQ23" s="8" t="b">
        <f>EXACT(Perspektywy2022_techn[[#This Row],[Nazwa uczelnie]],Perspektywy2022!$AP23)</f>
        <v>1</v>
      </c>
      <c r="AR23" s="47">
        <v>1</v>
      </c>
      <c r="AS23" s="8">
        <v>11242</v>
      </c>
      <c r="AT23" s="8">
        <v>10996</v>
      </c>
      <c r="AU23" s="8">
        <v>246</v>
      </c>
      <c r="AV23" s="52">
        <v>3772.0135714285716</v>
      </c>
      <c r="AW23" s="53">
        <v>74.164285714285725</v>
      </c>
      <c r="AX23" s="53">
        <f>Perspektywy2022!$AV23*Perspektywy2022!$AW23/100</f>
        <v>2797.4869222959187</v>
      </c>
      <c r="AY23" s="52">
        <v>5198.1990000000005</v>
      </c>
      <c r="AZ23" s="53">
        <v>93.52000000000001</v>
      </c>
      <c r="BA23" s="52">
        <f>Perspektywy2022!$AY23*Perspektywy2022!$AZ23/100</f>
        <v>4861.3557048000011</v>
      </c>
      <c r="BB23" s="11">
        <v>0.80642857142857138</v>
      </c>
      <c r="BC23" s="54">
        <v>1.0589999999999999</v>
      </c>
      <c r="BD23" s="28">
        <v>38</v>
      </c>
      <c r="BE23" s="2">
        <v>2178</v>
      </c>
      <c r="BF23" s="2" t="s">
        <v>1450</v>
      </c>
      <c r="BG23" s="2" t="s">
        <v>1374</v>
      </c>
      <c r="BH23" s="2" t="b">
        <f>EXACT(Perspektywy2022_techn[[#This Row],[Nazwa uczelnie]],BG23)</f>
        <v>1</v>
      </c>
      <c r="BI23" s="2">
        <v>5100</v>
      </c>
      <c r="BJ23" s="2">
        <v>1606</v>
      </c>
      <c r="BK23" s="55">
        <v>2269</v>
      </c>
    </row>
    <row r="24" spans="1:63" x14ac:dyDescent="0.45">
      <c r="A24">
        <v>11</v>
      </c>
      <c r="B24">
        <v>39</v>
      </c>
      <c r="C24" t="s">
        <v>1373</v>
      </c>
      <c r="D24">
        <v>55.9</v>
      </c>
      <c r="E24">
        <f>SUMPRODUCT($G$1:$AO$1,Perspektywy2022_techn[[#This Row],[ocena przez kadrę akademicką (10%)]:[Uniwersytety europejskie (1%)]])</f>
        <v>37.675900000000013</v>
      </c>
      <c r="F24">
        <f>SUMPRODUCT($G$1:$H$1,Perspektywy2022_techn[[#This Row],[ocena przez kadrę akademicką (10%)]:[uznanie międzynarodowe 2%]])</f>
        <v>0.67920000000000003</v>
      </c>
      <c r="G24">
        <v>4.55</v>
      </c>
      <c r="H24">
        <v>11.21</v>
      </c>
      <c r="I24">
        <v>65.19</v>
      </c>
      <c r="J24">
        <f>SUMPRODUCT($K$1:$N$1,Perspektywy2022_techn[[#This Row],[ocena parametryczna (10%)]:[Uprawnienia doktorskie (1%)]])</f>
        <v>8.8816000000000006</v>
      </c>
      <c r="K24">
        <v>59.5</v>
      </c>
      <c r="L24">
        <v>72.239999999999995</v>
      </c>
      <c r="M24">
        <v>32</v>
      </c>
      <c r="N24">
        <v>44.44</v>
      </c>
      <c r="O24">
        <f>SUMPRODUCT($P$1:$R$1,Perspektywy2022_techn[[#This Row],[patenty w Polsce (3%)]:[SDG (2%)]])</f>
        <v>3.3575999999999997</v>
      </c>
      <c r="P24">
        <v>59.49</v>
      </c>
      <c r="Q24">
        <v>12.45</v>
      </c>
      <c r="R24">
        <v>59.97</v>
      </c>
      <c r="S24">
        <f>SUMPRODUCT($T$1:$AA$1,Perspektywy2022_techn[[#This Row],[Finanse na badania (6%)]:[Top10 (3%)]])</f>
        <v>10.2553</v>
      </c>
      <c r="T24">
        <v>32.18</v>
      </c>
      <c r="U24">
        <v>23.44</v>
      </c>
      <c r="V24">
        <v>32.380000000000003</v>
      </c>
      <c r="W24">
        <v>53.68</v>
      </c>
      <c r="X24">
        <v>36.590000000000003</v>
      </c>
      <c r="Y24">
        <v>39.200000000000003</v>
      </c>
      <c r="Z24">
        <v>34.380000000000003</v>
      </c>
      <c r="AA24">
        <v>50</v>
      </c>
      <c r="AB24">
        <f>SUMPRODUCT($W$1:$AA$1,Perspektywy2022_techn[[#This Row],[publikacje (3%)]:[Top10 (3%)]])</f>
        <v>6.4154999999999998</v>
      </c>
      <c r="AC24">
        <f>SUMPRODUCT($AD$1:$AE$1,Perspektywy2022_techn[[#This Row],[dostępność dla studentów (5%)]:[akredytacje (5%)]])</f>
        <v>4.3765000000000001</v>
      </c>
      <c r="AD24">
        <v>82.02</v>
      </c>
      <c r="AE24">
        <v>5.51</v>
      </c>
      <c r="AF24">
        <f>SUMPRODUCT($AG$1:$AO$1,Perspektywy2022_techn[[#This Row],[studia w j. obcych (3%)]:[Uniwersytety europejskie (1%)]])</f>
        <v>2.3029000000000002</v>
      </c>
      <c r="AG24">
        <v>5.56</v>
      </c>
      <c r="AH24">
        <v>2.0699999999999998</v>
      </c>
      <c r="AI24">
        <v>11.55</v>
      </c>
      <c r="AJ24">
        <v>36.86</v>
      </c>
      <c r="AK24">
        <v>6.81</v>
      </c>
      <c r="AL24">
        <v>10.98</v>
      </c>
      <c r="AM24">
        <v>62.96</v>
      </c>
      <c r="AN24">
        <v>20.350000000000001</v>
      </c>
      <c r="AO24">
        <v>0</v>
      </c>
      <c r="AP24" s="28" t="s">
        <v>1373</v>
      </c>
      <c r="AQ24" s="2" t="b">
        <f>EXACT(Perspektywy2022_techn[[#This Row],[Nazwa uczelnie]],Perspektywy2022!$AP24)</f>
        <v>1</v>
      </c>
      <c r="AR24" s="50">
        <v>1</v>
      </c>
      <c r="AS24" s="2">
        <v>14828</v>
      </c>
      <c r="AT24" s="2">
        <v>14257</v>
      </c>
      <c r="AU24" s="2">
        <v>571</v>
      </c>
      <c r="AV24" s="56">
        <v>3147.8228571428576</v>
      </c>
      <c r="AW24" s="57">
        <v>72.071428571428584</v>
      </c>
      <c r="AX24" s="57">
        <f>Perspektywy2022!$AV24*Perspektywy2022!$AW24/100</f>
        <v>2268.6809020408168</v>
      </c>
      <c r="AY24" s="56">
        <v>4159.5439999999999</v>
      </c>
      <c r="AZ24" s="57">
        <v>87.289999999999992</v>
      </c>
      <c r="BA24" s="56">
        <f>Perspektywy2022!$AY24*Perspektywy2022!$AZ24/100</f>
        <v>3630.8659575999995</v>
      </c>
      <c r="BB24" s="2">
        <v>0.70000000000000007</v>
      </c>
      <c r="BC24" s="55">
        <v>0.88400000000000001</v>
      </c>
      <c r="BD24" s="28">
        <v>27</v>
      </c>
      <c r="BE24" s="2">
        <v>1742</v>
      </c>
      <c r="BF24" s="2" t="s">
        <v>1439</v>
      </c>
      <c r="BG24" s="2" t="s">
        <v>1373</v>
      </c>
      <c r="BH24" s="2" t="b">
        <f>EXACT(Perspektywy2022_techn[[#This Row],[Nazwa uczelnie]],BG24)</f>
        <v>1</v>
      </c>
      <c r="BI24" s="2">
        <v>4185</v>
      </c>
      <c r="BJ24" s="2">
        <v>1478</v>
      </c>
      <c r="BK24" s="55">
        <v>1663</v>
      </c>
    </row>
    <row r="26" spans="1:63" x14ac:dyDescent="0.45">
      <c r="D26" s="34" t="s">
        <v>1385</v>
      </c>
      <c r="H26" s="34" t="s">
        <v>1386</v>
      </c>
      <c r="L26" s="34" t="s">
        <v>1387</v>
      </c>
      <c r="N26" t="s">
        <v>1388</v>
      </c>
      <c r="P26">
        <v>22</v>
      </c>
    </row>
    <row r="28" spans="1:63" ht="28.5" x14ac:dyDescent="0.45">
      <c r="C28" s="40" t="s">
        <v>1803</v>
      </c>
      <c r="D28" s="58">
        <f>CORREL(Perspektywy2022_techn[Poz.],Perspektywy2022_techn[WskaźnikOcenyPunktowej])</f>
        <v>-0.97485632312870241</v>
      </c>
      <c r="E28" s="38"/>
      <c r="F28" s="38"/>
      <c r="G28" s="38"/>
      <c r="H28" s="37" t="str">
        <f t="shared" ref="H28:H38" si="0">IF(TDIST(L28,P$26-2,2)&lt;0.0001,"&lt;0,0001",TDIST(L28,P$26-2,2))</f>
        <v>&lt;0,0001</v>
      </c>
      <c r="I28" s="38"/>
      <c r="J28" s="38"/>
      <c r="K28" s="38"/>
      <c r="L28" s="39">
        <f t="shared" ref="L28:L38" si="1">(-D28*SQRT(P$26-2))/(SQRT(1-D28^2))</f>
        <v>19.56471225503557</v>
      </c>
    </row>
    <row r="29" spans="1:63" ht="28.5" x14ac:dyDescent="0.45">
      <c r="C29" s="40" t="s">
        <v>1851</v>
      </c>
      <c r="D29" s="58">
        <f>CORREL(Perspektywy2022_techn[Poz.],Perspektywy2022_techn[Prestiż (łącznie ocena przez kadrę i uznanie międzynar - 12%)])</f>
        <v>-0.83449783849084125</v>
      </c>
      <c r="E29" s="38"/>
      <c r="F29" s="38"/>
      <c r="G29" s="38"/>
      <c r="H29" s="37" t="str">
        <f t="shared" si="0"/>
        <v>&lt;0,0001</v>
      </c>
      <c r="I29" s="38"/>
      <c r="J29" s="38"/>
      <c r="K29" s="38"/>
      <c r="L29" s="39">
        <f t="shared" si="1"/>
        <v>6.7729797425511071</v>
      </c>
    </row>
    <row r="30" spans="1:63" ht="28.5" x14ac:dyDescent="0.45">
      <c r="C30" s="40" t="s">
        <v>1887</v>
      </c>
      <c r="D30" s="58">
        <f>CORREL(Perspektywy2022_techn[Poz.],Perspektywy2022_techn[ocena przez kadrę akademicką (10%)])</f>
        <v>-0.80858312553887546</v>
      </c>
      <c r="E30" s="38"/>
      <c r="F30" s="38"/>
      <c r="G30" s="38"/>
      <c r="H30" s="37" t="str">
        <f t="shared" si="0"/>
        <v>&lt;0,0001</v>
      </c>
      <c r="I30" s="38"/>
      <c r="J30" s="38"/>
      <c r="K30" s="38"/>
      <c r="L30" s="39">
        <f t="shared" si="1"/>
        <v>6.1458269004685739</v>
      </c>
    </row>
    <row r="31" spans="1:63" ht="28.5" x14ac:dyDescent="0.45">
      <c r="C31" s="40" t="s">
        <v>1852</v>
      </c>
      <c r="D31" s="58">
        <f>CORREL(Perspektywy2022_techn[Poz.],Perspektywy2022_techn[ekonomiczne losy absolwentów (12%)])</f>
        <v>-0.77709967506925803</v>
      </c>
      <c r="E31" s="38"/>
      <c r="F31" s="38"/>
      <c r="G31" s="38"/>
      <c r="H31" s="37" t="str">
        <f t="shared" si="0"/>
        <v>&lt;0,0001</v>
      </c>
      <c r="I31" s="38"/>
      <c r="J31" s="38"/>
      <c r="K31" s="38"/>
      <c r="L31" s="39">
        <f t="shared" si="1"/>
        <v>5.5217975622822548</v>
      </c>
    </row>
    <row r="32" spans="1:63" ht="28.5" x14ac:dyDescent="0.45">
      <c r="C32" s="40" t="s">
        <v>1853</v>
      </c>
      <c r="D32" s="58">
        <f>CORREL(Perspektywy2022_techn[Poz.],Perspektywy2022_techn[Potencjał naukowy (łącznie ocena parametryczna, kadra, uprawnienia - 15%)])</f>
        <v>-0.94179380351551367</v>
      </c>
      <c r="E32" s="38"/>
      <c r="F32" s="38"/>
      <c r="G32" s="38"/>
      <c r="H32" s="37" t="str">
        <f t="shared" si="0"/>
        <v>&lt;0,0001</v>
      </c>
      <c r="I32" s="38"/>
      <c r="J32" s="38"/>
      <c r="K32" s="38"/>
      <c r="L32" s="39">
        <f t="shared" si="1"/>
        <v>12.528084114011616</v>
      </c>
    </row>
    <row r="33" spans="3:12" ht="28.5" x14ac:dyDescent="0.45">
      <c r="C33" s="40" t="s">
        <v>1854</v>
      </c>
      <c r="D33" s="58">
        <f>CORREL(Perspektywy2022_techn[Poz.],Perspektywy2022_techn[ocena parametryczna (10%)])</f>
        <v>-0.91595723408511598</v>
      </c>
      <c r="E33" s="38"/>
      <c r="F33" s="38"/>
      <c r="G33" s="38"/>
      <c r="H33" s="37" t="str">
        <f t="shared" si="0"/>
        <v>&lt;0,0001</v>
      </c>
      <c r="I33" s="38"/>
      <c r="J33" s="38"/>
      <c r="K33" s="38"/>
      <c r="L33" s="39">
        <f t="shared" si="1"/>
        <v>10.208151829662464</v>
      </c>
    </row>
    <row r="34" spans="3:12" ht="28.5" x14ac:dyDescent="0.45">
      <c r="C34" s="40" t="s">
        <v>1855</v>
      </c>
      <c r="D34" s="58">
        <f>CORREL(Perspektywy2022_techn[Poz.],Perspektywy2022_techn[Innowacyjność (łącznie patenty i SDG - 8%)])</f>
        <v>-0.58834240922589431</v>
      </c>
      <c r="E34" s="38"/>
      <c r="F34" s="38"/>
      <c r="G34" s="38"/>
      <c r="H34" s="58">
        <f t="shared" si="0"/>
        <v>3.9749484604577013E-3</v>
      </c>
      <c r="I34" s="38"/>
      <c r="J34" s="38"/>
      <c r="K34" s="38"/>
      <c r="L34" s="39">
        <f t="shared" si="1"/>
        <v>3.2539061479611067</v>
      </c>
    </row>
    <row r="35" spans="3:12" ht="28.5" x14ac:dyDescent="0.45">
      <c r="C35" s="40" t="s">
        <v>1856</v>
      </c>
      <c r="D35" s="58">
        <f>CORREL(Perspektywy2022_techn[Poz.],Perspektywy2022_techn[Efektywność naukowa (łącznie efektywność funduszy, rozwój kadry, nadane stopnie i publikacje - 28%)])</f>
        <v>-0.91950115052212766</v>
      </c>
      <c r="E35" s="38"/>
      <c r="F35" s="38"/>
      <c r="G35" s="38"/>
      <c r="H35" s="37" t="str">
        <f t="shared" si="0"/>
        <v>&lt;0,0001</v>
      </c>
      <c r="I35" s="38"/>
      <c r="J35" s="38"/>
      <c r="K35" s="38"/>
      <c r="L35" s="39">
        <f t="shared" si="1"/>
        <v>10.461121586105843</v>
      </c>
    </row>
    <row r="36" spans="3:12" ht="28.5" x14ac:dyDescent="0.45">
      <c r="C36" s="40" t="s">
        <v>1857</v>
      </c>
      <c r="D36" s="58">
        <f>CORREL(Perspektywy2022_techn[Poz.],Perspektywy2022_techn[Publikacje naukowe (łącznie publikacje, cytowania FWCI, CWVI, Top10 - 15%)])</f>
        <v>-0.86543017888173057</v>
      </c>
      <c r="E36" s="38"/>
      <c r="F36" s="38"/>
      <c r="G36" s="38"/>
      <c r="H36" s="37" t="str">
        <f t="shared" si="0"/>
        <v>&lt;0,0001</v>
      </c>
      <c r="I36" s="38"/>
      <c r="J36" s="38"/>
      <c r="K36" s="38"/>
      <c r="L36" s="39">
        <f t="shared" si="1"/>
        <v>7.7247369025450041</v>
      </c>
    </row>
    <row r="37" spans="3:12" ht="28.5" x14ac:dyDescent="0.45">
      <c r="C37" s="40" t="s">
        <v>1858</v>
      </c>
      <c r="D37" s="58">
        <f>CORREL(Perspektywy2022_techn[Poz.],Perspektywy2022_techn[Warunki kształcenia (łącznie dostępność i akredytacje - 10%)])</f>
        <v>-0.7605624903674939</v>
      </c>
      <c r="E37" s="38"/>
      <c r="F37" s="38"/>
      <c r="G37" s="38"/>
      <c r="H37" s="37" t="str">
        <f t="shared" si="0"/>
        <v>&lt;0,0001</v>
      </c>
      <c r="I37" s="38"/>
      <c r="J37" s="38"/>
      <c r="K37" s="38"/>
      <c r="L37" s="39">
        <f t="shared" si="1"/>
        <v>5.2387549596355676</v>
      </c>
    </row>
    <row r="38" spans="3:12" ht="28.5" x14ac:dyDescent="0.45">
      <c r="C38" s="40" t="s">
        <v>1859</v>
      </c>
      <c r="D38" s="58">
        <f>CORREL(Perspektywy2022_techn[Poz.],Perspektywy2022_techn[Umiędzynarodowienie (łącznie studia, studiujący i nauczyciele zagraniczni , wymiany, ICI i in. - 15%)])</f>
        <v>-0.84744663559948685</v>
      </c>
      <c r="E38" s="38"/>
      <c r="F38" s="38"/>
      <c r="G38" s="38"/>
      <c r="H38" s="37" t="str">
        <f t="shared" si="0"/>
        <v>&lt;0,0001</v>
      </c>
      <c r="I38" s="38"/>
      <c r="J38" s="38"/>
      <c r="K38" s="38"/>
      <c r="L38" s="39">
        <f t="shared" si="1"/>
        <v>7.1388870629407348</v>
      </c>
    </row>
    <row r="39" spans="3:12" x14ac:dyDescent="0.45">
      <c r="C39" s="59"/>
      <c r="D39" s="60"/>
      <c r="E39" s="38"/>
      <c r="F39" s="38"/>
      <c r="G39" s="38"/>
      <c r="H39" s="38"/>
      <c r="I39" s="38"/>
      <c r="J39" s="38"/>
      <c r="K39" s="38"/>
      <c r="L39" s="38"/>
    </row>
    <row r="40" spans="3:12" ht="28.5" x14ac:dyDescent="0.45">
      <c r="C40" s="40" t="s">
        <v>1860</v>
      </c>
      <c r="D40" s="58">
        <f>CORREL(Perspektywy2022_techn[WskaźnikOcenyPunktowej],Perspektywy2022_techn[Prestiż (łącznie ocena przez kadrę i uznanie międzynar - 12%)])</f>
        <v>0.90877294638950601</v>
      </c>
      <c r="E40" s="38"/>
      <c r="F40" s="38"/>
      <c r="G40" s="38"/>
      <c r="H40" s="37" t="str">
        <f t="shared" ref="H40:H49" si="2">IF(TDIST(L40,P$26-2,2)&lt;0.0001,"&lt;0,0001",TDIST(L40,P$26-2,2))</f>
        <v>&lt;0,0001</v>
      </c>
      <c r="I40" s="38"/>
      <c r="J40" s="38"/>
      <c r="K40" s="38"/>
      <c r="L40" s="41">
        <f t="shared" ref="L40:L49" si="3">(D40*SQRT(P$26-2))/(SQRT(1-D40^2))</f>
        <v>9.7393826233495506</v>
      </c>
    </row>
    <row r="41" spans="3:12" ht="28.5" x14ac:dyDescent="0.45">
      <c r="C41" s="40" t="s">
        <v>1888</v>
      </c>
      <c r="D41" s="58">
        <f>CORREL(Perspektywy2022_techn[WskaźnikOcenyPunktowej],Perspektywy2022_techn[ocena przez kadrę akademicką (10%)])</f>
        <v>0.88938772470110594</v>
      </c>
      <c r="E41" s="38"/>
      <c r="F41" s="38"/>
      <c r="G41" s="38"/>
      <c r="H41" s="37" t="str">
        <f t="shared" si="2"/>
        <v>&lt;0,0001</v>
      </c>
      <c r="I41" s="38"/>
      <c r="J41" s="38"/>
      <c r="K41" s="38"/>
      <c r="L41" s="41">
        <f t="shared" si="3"/>
        <v>8.7004941875003698</v>
      </c>
    </row>
    <row r="42" spans="3:12" ht="28.5" x14ac:dyDescent="0.45">
      <c r="C42" s="40" t="s">
        <v>1861</v>
      </c>
      <c r="D42" s="58">
        <f>CORREL(Perspektywy2022_techn[WskaźnikOcenyPunktowej],Perspektywy2022_techn[ekonomiczne losy absolwentów (12%)])</f>
        <v>0.82878683077608839</v>
      </c>
      <c r="E42" s="38"/>
      <c r="F42" s="38"/>
      <c r="G42" s="38"/>
      <c r="H42" s="37" t="str">
        <f t="shared" si="2"/>
        <v>&lt;0,0001</v>
      </c>
      <c r="I42" s="38"/>
      <c r="J42" s="38"/>
      <c r="K42" s="38"/>
      <c r="L42" s="41">
        <f t="shared" si="3"/>
        <v>6.6238076661732226</v>
      </c>
    </row>
    <row r="43" spans="3:12" ht="28.5" x14ac:dyDescent="0.45">
      <c r="C43" s="40" t="s">
        <v>1863</v>
      </c>
      <c r="D43" s="58">
        <f>CORREL(Perspektywy2022_techn[WskaźnikOcenyPunktowej],Perspektywy2022_techn[Potencjał naukowy (łącznie ocena parametryczna, kadra, uprawnienia - 15%)])</f>
        <v>0.92991836441883369</v>
      </c>
      <c r="E43" s="38"/>
      <c r="F43" s="38"/>
      <c r="G43" s="38"/>
      <c r="H43" s="37" t="str">
        <f t="shared" si="2"/>
        <v>&lt;0,0001</v>
      </c>
      <c r="I43" s="38"/>
      <c r="J43" s="38"/>
      <c r="K43" s="38"/>
      <c r="L43" s="41">
        <f t="shared" si="3"/>
        <v>11.308063495653268</v>
      </c>
    </row>
    <row r="44" spans="3:12" ht="28.5" x14ac:dyDescent="0.45">
      <c r="C44" s="40" t="s">
        <v>1862</v>
      </c>
      <c r="D44" s="58">
        <f>CORREL(Perspektywy2022_techn[WskaźnikOcenyPunktowej],Perspektywy2022_techn[ocena parametryczna (10%)])</f>
        <v>0.88224165519282638</v>
      </c>
      <c r="E44" s="38"/>
      <c r="F44" s="38"/>
      <c r="G44" s="38"/>
      <c r="H44" s="37" t="str">
        <f t="shared" si="2"/>
        <v>&lt;0,0001</v>
      </c>
      <c r="I44" s="38"/>
      <c r="J44" s="38"/>
      <c r="K44" s="38"/>
      <c r="L44" s="41">
        <f t="shared" si="3"/>
        <v>8.3804824418918713</v>
      </c>
    </row>
    <row r="45" spans="3:12" ht="28.5" x14ac:dyDescent="0.45">
      <c r="C45" s="40" t="s">
        <v>1864</v>
      </c>
      <c r="D45" s="58">
        <f>CORREL(Perspektywy2022_techn[WskaźnikOcenyPunktowej],Perspektywy2022_techn[Innowacyjność (łącznie patenty i SDG - 8%)])</f>
        <v>0.54332164748293987</v>
      </c>
      <c r="E45" s="38"/>
      <c r="F45" s="38"/>
      <c r="G45" s="38"/>
      <c r="H45" s="58">
        <f t="shared" si="2"/>
        <v>8.9680326008551667E-3</v>
      </c>
      <c r="I45" s="38"/>
      <c r="J45" s="38"/>
      <c r="K45" s="38"/>
      <c r="L45" s="41">
        <f t="shared" si="3"/>
        <v>2.8942668473493587</v>
      </c>
    </row>
    <row r="46" spans="3:12" ht="28.5" x14ac:dyDescent="0.45">
      <c r="C46" s="40" t="s">
        <v>1865</v>
      </c>
      <c r="D46" s="58">
        <f>CORREL(Perspektywy2022_techn[WskaźnikOcenyPunktowej],Perspektywy2022_techn[Efektywność naukowa (łącznie efektywność funduszy, rozwój kadry, nadane stopnie i publikacje - 28%)])</f>
        <v>0.92112152126741509</v>
      </c>
      <c r="E46" s="38"/>
      <c r="F46" s="38"/>
      <c r="G46" s="38"/>
      <c r="H46" s="37" t="str">
        <f t="shared" si="2"/>
        <v>&lt;0,0001</v>
      </c>
      <c r="I46" s="38"/>
      <c r="J46" s="38"/>
      <c r="K46" s="38"/>
      <c r="L46" s="41">
        <f t="shared" si="3"/>
        <v>10.582182462308422</v>
      </c>
    </row>
    <row r="47" spans="3:12" ht="28.5" x14ac:dyDescent="0.45">
      <c r="C47" s="40" t="s">
        <v>1866</v>
      </c>
      <c r="D47" s="58">
        <f>CORREL(Perspektywy2022_techn[WskaźnikOcenyPunktowej],Perspektywy2022_techn[Publikacje naukowe (łącznie publikacje, cytowania FWCI, CWVI, Top10 - 15%)])</f>
        <v>0.89518231855046859</v>
      </c>
      <c r="E47" s="38"/>
      <c r="F47" s="38"/>
      <c r="G47" s="38"/>
      <c r="H47" s="37" t="str">
        <f t="shared" si="2"/>
        <v>&lt;0,0001</v>
      </c>
      <c r="I47" s="38"/>
      <c r="J47" s="38"/>
      <c r="K47" s="38"/>
      <c r="L47" s="41">
        <f t="shared" si="3"/>
        <v>8.9822206817098511</v>
      </c>
    </row>
    <row r="48" spans="3:12" ht="28.5" x14ac:dyDescent="0.45">
      <c r="C48" s="40" t="s">
        <v>1867</v>
      </c>
      <c r="D48" s="58">
        <f>CORREL(Perspektywy2022_techn[WskaźnikOcenyPunktowej],Perspektywy2022_techn[Warunki kształcenia (łącznie dostępność i akredytacje - 10%)])</f>
        <v>0.79776257896851965</v>
      </c>
      <c r="E48" s="38"/>
      <c r="F48" s="38"/>
      <c r="G48" s="38"/>
      <c r="H48" s="37" t="str">
        <f t="shared" si="2"/>
        <v>&lt;0,0001</v>
      </c>
      <c r="I48" s="38"/>
      <c r="J48" s="38"/>
      <c r="K48" s="38"/>
      <c r="L48" s="41">
        <f t="shared" si="3"/>
        <v>5.9168659651137681</v>
      </c>
    </row>
    <row r="49" spans="3:12" ht="28.5" x14ac:dyDescent="0.45">
      <c r="C49" s="40" t="s">
        <v>1868</v>
      </c>
      <c r="D49" s="58">
        <f>CORREL(Perspektywy2022_techn[WskaźnikOcenyPunktowej],Perspektywy2022_techn[Umiędzynarodowienie (łącznie studia, studiujący i nauczyciele zagraniczni , wymiany, ICI i in. - 15%)])</f>
        <v>0.87492395331400008</v>
      </c>
      <c r="E49" s="38"/>
      <c r="F49" s="38"/>
      <c r="G49" s="38"/>
      <c r="H49" s="37" t="str">
        <f t="shared" si="2"/>
        <v>&lt;0,0001</v>
      </c>
      <c r="I49" s="38"/>
      <c r="J49" s="38"/>
      <c r="K49" s="38"/>
      <c r="L49" s="41">
        <f t="shared" si="3"/>
        <v>8.0799077572149205</v>
      </c>
    </row>
    <row r="50" spans="3:12" x14ac:dyDescent="0.45">
      <c r="C50" s="59"/>
      <c r="D50" s="60"/>
      <c r="E50" s="38"/>
      <c r="F50" s="38"/>
      <c r="G50" s="38"/>
      <c r="H50" s="38"/>
      <c r="I50" s="38"/>
      <c r="J50" s="38"/>
      <c r="K50" s="38"/>
      <c r="L50" s="38"/>
    </row>
    <row r="51" spans="3:12" ht="28.5" x14ac:dyDescent="0.45">
      <c r="C51" s="40" t="s">
        <v>1396</v>
      </c>
      <c r="D51" s="58">
        <f>CORREL(Perspektywy2022_techn[Potencjał naukowy (łącznie ocena parametryczna, kadra, uprawnienia - 15%)],Perspektywy2022_techn[Efektywność naukowa (łącznie efektywność funduszy, rozwój kadry, nadane stopnie i publikacje - 28%)])</f>
        <v>0.82039670604946568</v>
      </c>
      <c r="E51" s="38"/>
      <c r="F51" s="38"/>
      <c r="G51" s="38"/>
      <c r="H51" s="58" t="str">
        <f>IF(TDIST(L51,P$26-2,2)&lt;0.0001,"&lt;0,0001",TDIST(L51,P$26-2,2))</f>
        <v>&lt;0,0001</v>
      </c>
      <c r="I51" s="38"/>
      <c r="J51" s="38"/>
      <c r="K51" s="38"/>
      <c r="L51" s="41">
        <f>(D51*SQRT(P$26-2))/(SQRT(1-D51^2))</f>
        <v>6.4165079486485412</v>
      </c>
    </row>
    <row r="52" spans="3:12" ht="28.5" x14ac:dyDescent="0.45">
      <c r="C52" s="40" t="s">
        <v>1397</v>
      </c>
      <c r="D52" s="58">
        <f>CORREL(Perspektywy2022_techn[ocena parametryczna (10%)],Perspektywy2022_techn[Efektywność naukowa (łącznie efektywność funduszy, rozwój kadry, nadane stopnie i publikacje - 28%)])</f>
        <v>0.79654227977378456</v>
      </c>
      <c r="E52" s="38"/>
      <c r="F52" s="38"/>
      <c r="G52" s="38"/>
      <c r="H52" s="58" t="str">
        <f>IF(TDIST(L52,P$26-2,2)&lt;0.0001,"&lt;0,0001",TDIST(L52,P$26-2,2))</f>
        <v>&lt;0,0001</v>
      </c>
      <c r="I52" s="38"/>
      <c r="J52" s="38"/>
      <c r="K52" s="38"/>
      <c r="L52" s="41">
        <f>(D52*SQRT(P$26-2))/(SQRT(1-D52^2))</f>
        <v>5.8920716915086322</v>
      </c>
    </row>
    <row r="53" spans="3:12" x14ac:dyDescent="0.45">
      <c r="C53" s="59"/>
      <c r="D53" s="26"/>
    </row>
    <row r="54" spans="3:12" ht="28.5" x14ac:dyDescent="0.45">
      <c r="C54" s="40" t="s">
        <v>1804</v>
      </c>
      <c r="D54" s="58">
        <f>CORREL(Perspektywy2022_techn[Poz.],Perspektywy2022_techn[WorldRankValue_Webometrics2023H1])</f>
        <v>0.48005036438550558</v>
      </c>
      <c r="E54" s="38"/>
      <c r="F54" s="38"/>
      <c r="G54" s="38"/>
      <c r="H54" s="58">
        <f>IF(TDIST(L54,P$26-2,2)&lt;0.0001,"&lt;0,0001",TDIST(L54,P$26-2,2))</f>
        <v>2.3754079090175888E-2</v>
      </c>
      <c r="I54" s="38"/>
      <c r="J54" s="38"/>
      <c r="K54" s="38"/>
      <c r="L54" s="41">
        <f>(D54*SQRT(P$26-2))/(SQRT(1-D54^2))</f>
        <v>2.4472757980299451</v>
      </c>
    </row>
    <row r="55" spans="3:12" ht="28.5" x14ac:dyDescent="0.45">
      <c r="C55" s="40" t="s">
        <v>1805</v>
      </c>
      <c r="D55" s="58">
        <f>CORREL(Perspektywy2022_techn[Poz.],Perspektywy2022_techn[CountryWebometrics2023H1])</f>
        <v>0.53730378764819275</v>
      </c>
      <c r="E55" s="38"/>
      <c r="F55" s="38"/>
      <c r="G55" s="38"/>
      <c r="H55" s="58">
        <f>IF(TDIST(L55,P$26-2,2)&lt;0.0001,"&lt;0,0001",TDIST(L55,P$26-2,2))</f>
        <v>9.9169020022804207E-3</v>
      </c>
      <c r="I55" s="38"/>
      <c r="J55" s="38"/>
      <c r="K55" s="38"/>
      <c r="L55" s="41">
        <f>(D55*SQRT(P$26-2))/(SQRT(1-D55^2))</f>
        <v>2.8490959746064304</v>
      </c>
    </row>
    <row r="56" spans="3:12" ht="28.5" x14ac:dyDescent="0.45">
      <c r="C56" s="40" t="s">
        <v>1806</v>
      </c>
      <c r="D56" s="58">
        <f>CORREL(Perspektywy2022_techn[WskaźnikOcenyPunktowej],Perspektywy2022_techn[WorldRankValue_Webometrics2023H1])</f>
        <v>-0.45639651599711856</v>
      </c>
      <c r="E56" s="38"/>
      <c r="F56" s="38"/>
      <c r="G56" s="38"/>
      <c r="H56" s="58">
        <f>IF(TDIST(L56,P$26-2,2)&lt;0.0001,"&lt;0,0001",TDIST(L56,P$26-2,2))</f>
        <v>3.2758105598608582E-2</v>
      </c>
      <c r="I56" s="38"/>
      <c r="J56" s="38"/>
      <c r="K56" s="38"/>
      <c r="L56" s="39">
        <f>(-D56*SQRT(P$26-2))/(SQRT(1-D56^2))</f>
        <v>2.293910064635714</v>
      </c>
    </row>
    <row r="57" spans="3:12" ht="28.5" x14ac:dyDescent="0.45">
      <c r="C57" s="40" t="s">
        <v>1807</v>
      </c>
      <c r="D57" s="58">
        <f>CORREL(Perspektywy2022_techn[WskaźnikOcenyPunktowej],Perspektywy2022_techn[CountryWebometrics2023H1])</f>
        <v>-0.51158398166574137</v>
      </c>
      <c r="E57" s="38"/>
      <c r="F57" s="38"/>
      <c r="G57" s="38"/>
      <c r="H57" s="58">
        <f>IF(TDIST(L57,P$26-2,2)&lt;0.0001,"&lt;0,0001",TDIST(L57,P$26-2,2))</f>
        <v>1.4947496549769559E-2</v>
      </c>
      <c r="I57" s="38"/>
      <c r="J57" s="38"/>
      <c r="K57" s="38"/>
      <c r="L57" s="39">
        <f>(-D57*SQRT(P$26-2))/(SQRT(1-D57^2))</f>
        <v>2.6626914614293851</v>
      </c>
    </row>
    <row r="58" spans="3:12" x14ac:dyDescent="0.45">
      <c r="H58" s="26"/>
    </row>
    <row r="59" spans="3:12" ht="28.5" x14ac:dyDescent="0.45">
      <c r="C59" s="40" t="s">
        <v>1808</v>
      </c>
      <c r="D59" s="61">
        <f>CORREL(Perspektywy2022_techn[CountryWebometrics2023H1],Perspektywy2022_techn[Prestiż (łącznie ocena przez kadrę i uznanie międzynar - 12%)])</f>
        <v>-0.37283041849388976</v>
      </c>
      <c r="E59" s="38"/>
      <c r="F59" s="38"/>
      <c r="G59" s="38"/>
      <c r="H59" s="58">
        <f t="shared" ref="H59:H69" si="4">IF(TDIST(L59,P$26-2,2)&lt;0.0001,"&lt;0,0001",TDIST(L59,P$26-2,2))</f>
        <v>8.746987531255225E-2</v>
      </c>
      <c r="I59" s="38"/>
      <c r="J59" s="38"/>
      <c r="K59" s="38"/>
      <c r="L59" s="39">
        <f t="shared" ref="L59:L69" si="5">(-D59*SQRT(P$26-2))/(SQRT(1-D59^2))</f>
        <v>1.7969061548386525</v>
      </c>
    </row>
    <row r="60" spans="3:12" ht="28.5" x14ac:dyDescent="0.45">
      <c r="C60" s="40" t="s">
        <v>1810</v>
      </c>
      <c r="D60" s="61">
        <f>CORREL(Perspektywy2022_techn[WorldRankValue_Webometrics2023H1],Perspektywy2022_techn[Prestiż (łącznie ocena przez kadrę i uznanie międzynar - 12%)])</f>
        <v>-0.31843725655061372</v>
      </c>
      <c r="E60" s="38"/>
      <c r="F60" s="38"/>
      <c r="G60" s="38"/>
      <c r="H60" s="58">
        <f t="shared" si="4"/>
        <v>0.148645447355398</v>
      </c>
      <c r="I60" s="38"/>
      <c r="J60" s="38"/>
      <c r="K60" s="38"/>
      <c r="L60" s="39">
        <f t="shared" si="5"/>
        <v>1.5022984420652012</v>
      </c>
    </row>
    <row r="61" spans="3:12" ht="28.5" x14ac:dyDescent="0.45">
      <c r="C61" s="40" t="s">
        <v>1809</v>
      </c>
      <c r="D61" s="61">
        <f>CORREL(Perspektywy2022_techn[CountryWebometrics2023H1],Perspektywy2022_techn[ocena przez kadrę akademicką (10%)])</f>
        <v>-0.35252361773011687</v>
      </c>
      <c r="E61" s="38"/>
      <c r="F61" s="38"/>
      <c r="G61" s="38"/>
      <c r="H61" s="58">
        <f t="shared" si="4"/>
        <v>0.10759148519965454</v>
      </c>
      <c r="I61" s="38"/>
      <c r="J61" s="38"/>
      <c r="K61" s="38"/>
      <c r="L61" s="39">
        <f t="shared" si="5"/>
        <v>1.6846854371456983</v>
      </c>
    </row>
    <row r="62" spans="3:12" ht="28.5" x14ac:dyDescent="0.45">
      <c r="C62" s="40" t="s">
        <v>1811</v>
      </c>
      <c r="D62" s="58">
        <f>CORREL(Perspektywy2022_techn[CountryWebometrics2023H1],Perspektywy2022_techn[ekonomiczne losy absolwentów (12%)])</f>
        <v>-0.45705600753875164</v>
      </c>
      <c r="E62" s="38"/>
      <c r="F62" s="38"/>
      <c r="G62" s="38"/>
      <c r="H62" s="58">
        <f t="shared" si="4"/>
        <v>3.2475091289965292E-2</v>
      </c>
      <c r="I62" s="38"/>
      <c r="J62" s="38"/>
      <c r="K62" s="38"/>
      <c r="L62" s="39">
        <f t="shared" si="5"/>
        <v>2.2980992473660016</v>
      </c>
    </row>
    <row r="63" spans="3:12" ht="28.5" x14ac:dyDescent="0.45">
      <c r="C63" s="40" t="s">
        <v>1812</v>
      </c>
      <c r="D63" s="58">
        <f>CORREL(Perspektywy2022_techn[CountryWebometrics2023H1],Perspektywy2022_techn[Potencjał naukowy (łącznie ocena parametryczna, kadra, uprawnienia - 15%)])</f>
        <v>-0.50196079970705543</v>
      </c>
      <c r="E63" s="38"/>
      <c r="F63" s="38"/>
      <c r="G63" s="38"/>
      <c r="H63" s="58">
        <f t="shared" si="4"/>
        <v>1.7293812014130092E-2</v>
      </c>
      <c r="I63" s="38"/>
      <c r="J63" s="38"/>
      <c r="K63" s="38"/>
      <c r="L63" s="39">
        <f t="shared" si="5"/>
        <v>2.5955161637543847</v>
      </c>
    </row>
    <row r="64" spans="3:12" ht="28.5" x14ac:dyDescent="0.45">
      <c r="C64" s="40" t="s">
        <v>1813</v>
      </c>
      <c r="D64" s="61">
        <f>CORREL(Perspektywy2022_techn[CountryWebometrics2023H1],Perspektywy2022_techn[ocena parametryczna (10%)])</f>
        <v>-0.405118659356072</v>
      </c>
      <c r="E64" s="38"/>
      <c r="F64" s="38"/>
      <c r="G64" s="38"/>
      <c r="H64" s="58">
        <f t="shared" si="4"/>
        <v>6.143261847780343E-2</v>
      </c>
      <c r="I64" s="38"/>
      <c r="J64" s="38"/>
      <c r="K64" s="38"/>
      <c r="L64" s="39">
        <f t="shared" si="5"/>
        <v>1.9816436989808262</v>
      </c>
    </row>
    <row r="65" spans="3:12" ht="28.5" x14ac:dyDescent="0.45">
      <c r="C65" s="40" t="s">
        <v>1814</v>
      </c>
      <c r="D65" s="58">
        <f>CORREL(Perspektywy2022_techn[CountryWebometrics2023H1],Perspektywy2022_techn[Innowacyjność (łącznie patenty i SDG - 8%)])</f>
        <v>-0.44423907562288922</v>
      </c>
      <c r="E65" s="38"/>
      <c r="F65" s="38"/>
      <c r="G65" s="38"/>
      <c r="H65" s="58">
        <f t="shared" si="4"/>
        <v>3.8332911983214819E-2</v>
      </c>
      <c r="I65" s="38"/>
      <c r="J65" s="38"/>
      <c r="K65" s="38"/>
      <c r="L65" s="39">
        <f t="shared" si="5"/>
        <v>2.2175233672152466</v>
      </c>
    </row>
    <row r="66" spans="3:12" ht="28.5" x14ac:dyDescent="0.45">
      <c r="C66" s="40" t="s">
        <v>1815</v>
      </c>
      <c r="D66" s="58">
        <f>CORREL(Perspektywy2022_techn[CountryWebometrics2023H1],Perspektywy2022_techn[Efektywność naukowa (łącznie efektywność funduszy, rozwój kadry, nadane stopnie i publikacje - 28%)])</f>
        <v>-0.57934248310017622</v>
      </c>
      <c r="E66" s="38"/>
      <c r="F66" s="38"/>
      <c r="G66" s="38"/>
      <c r="H66" s="58">
        <f t="shared" si="4"/>
        <v>4.7201718880532121E-3</v>
      </c>
      <c r="I66" s="38"/>
      <c r="J66" s="38"/>
      <c r="K66" s="38"/>
      <c r="L66" s="39">
        <f t="shared" si="5"/>
        <v>3.1786878978538677</v>
      </c>
    </row>
    <row r="67" spans="3:12" ht="28.5" x14ac:dyDescent="0.45">
      <c r="C67" s="40" t="s">
        <v>1816</v>
      </c>
      <c r="D67" s="61">
        <f>CORREL(Perspektywy2022_techn[CountryWebometrics2023H1],Perspektywy2022_techn[Publikacje naukowe (łącznie publikacje, cytowania FWCI, CWVI, Top10 - 15%)])</f>
        <v>-0.31756446296292801</v>
      </c>
      <c r="E67" s="38"/>
      <c r="F67" s="38"/>
      <c r="G67" s="38"/>
      <c r="H67" s="58">
        <f t="shared" si="4"/>
        <v>0.14982369366380746</v>
      </c>
      <c r="I67" s="38"/>
      <c r="J67" s="38"/>
      <c r="K67" s="38"/>
      <c r="L67" s="39">
        <f t="shared" si="5"/>
        <v>1.4977183170161108</v>
      </c>
    </row>
    <row r="68" spans="3:12" ht="28.5" x14ac:dyDescent="0.45">
      <c r="C68" s="40" t="s">
        <v>1817</v>
      </c>
      <c r="D68" s="61">
        <f>CORREL(Perspektywy2022_techn[CountryWebometrics2023H1],Perspektywy2022_techn[Warunki kształcenia (łącznie dostępność i akredytacje - 10%)])</f>
        <v>-0.40943911442724634</v>
      </c>
      <c r="E68" s="38"/>
      <c r="F68" s="38"/>
      <c r="G68" s="38"/>
      <c r="H68" s="58">
        <f t="shared" si="4"/>
        <v>5.84565072749825E-2</v>
      </c>
      <c r="I68" s="38"/>
      <c r="J68" s="38"/>
      <c r="K68" s="38"/>
      <c r="L68" s="39">
        <f t="shared" si="5"/>
        <v>2.0070067245595014</v>
      </c>
    </row>
    <row r="69" spans="3:12" ht="28.5" x14ac:dyDescent="0.45">
      <c r="C69" s="40" t="s">
        <v>1818</v>
      </c>
      <c r="D69" s="61">
        <f>CORREL(Perspektywy2022_techn[CountryWebometrics2023H1],Perspektywy2022_techn[Umiędzynarodowienie (łącznie studia, studiujący i nauczyciele zagraniczni , wymiany, ICI i in. - 15%)])</f>
        <v>-0.29540607006727215</v>
      </c>
      <c r="E69" s="38"/>
      <c r="F69" s="38"/>
      <c r="G69" s="38"/>
      <c r="H69" s="58">
        <f t="shared" si="4"/>
        <v>0.18196954636824633</v>
      </c>
      <c r="I69" s="38"/>
      <c r="J69" s="38"/>
      <c r="K69" s="38"/>
      <c r="L69" s="39">
        <f t="shared" si="5"/>
        <v>1.3828083721258881</v>
      </c>
    </row>
    <row r="71" spans="3:12" x14ac:dyDescent="0.45">
      <c r="C71" s="40" t="s">
        <v>1819</v>
      </c>
      <c r="D71" s="58">
        <f>CORREL(Perspektywy2022_techn[Poz.],Perspektywy2022_techn[IWRA_1R])</f>
        <v>-0.47897856968064689</v>
      </c>
      <c r="E71" s="38"/>
      <c r="F71" s="38"/>
      <c r="G71" s="38"/>
      <c r="H71" s="58">
        <f t="shared" ref="H71:H78" si="6">IF(TDIST(L71,P$26-2,2)&lt;0.0001,"&lt;0,0001",TDIST(L71,P$26-2,2))</f>
        <v>2.4113739790455953E-2</v>
      </c>
      <c r="I71" s="38"/>
      <c r="J71" s="38"/>
      <c r="K71" s="38"/>
      <c r="L71" s="39">
        <f>(-D71*SQRT(P$26-2))/(SQRT(1-D71^2))</f>
        <v>2.4401827158991618</v>
      </c>
    </row>
    <row r="72" spans="3:12" x14ac:dyDescent="0.45">
      <c r="C72" s="40" t="s">
        <v>1820</v>
      </c>
      <c r="D72" s="58">
        <f>CORREL(Perspektywy2022_techn[Poz.],Perspektywy2022_techn[IWRA_3R])</f>
        <v>-0.78451193552652487</v>
      </c>
      <c r="E72" s="38"/>
      <c r="F72" s="38"/>
      <c r="G72" s="38"/>
      <c r="H72" s="37" t="str">
        <f t="shared" si="6"/>
        <v>&lt;0,0001</v>
      </c>
      <c r="I72" s="38"/>
      <c r="J72" s="38"/>
      <c r="K72" s="38"/>
      <c r="L72" s="39">
        <f>(-D72*SQRT(P$26-2))/(SQRT(1-D72^2))</f>
        <v>5.6577429804063026</v>
      </c>
    </row>
    <row r="73" spans="3:12" ht="28.5" x14ac:dyDescent="0.45">
      <c r="C73" s="40" t="s">
        <v>1827</v>
      </c>
      <c r="D73" s="58">
        <f>CORREL(Perspektywy2022_techn[Poz.],Perspektywy2022_techn[Średnia z U_CZY_PRACA_P1])</f>
        <v>0.50344965710671685</v>
      </c>
      <c r="E73" s="38"/>
      <c r="F73" s="38"/>
      <c r="G73" s="38"/>
      <c r="H73" s="58">
        <f t="shared" si="6"/>
        <v>1.6912504630528371E-2</v>
      </c>
      <c r="I73" s="38"/>
      <c r="J73" s="38"/>
      <c r="K73" s="38"/>
      <c r="L73" s="41">
        <f>(D73*SQRT(P$26-2))/(SQRT(1-D73^2))</f>
        <v>2.6058232758401614</v>
      </c>
    </row>
    <row r="74" spans="3:12" ht="28.5" x14ac:dyDescent="0.45">
      <c r="C74" s="40" t="s">
        <v>1828</v>
      </c>
      <c r="D74" s="61">
        <f>CORREL(Perspektywy2022_techn[Poz.],Perspektywy2022_techn[Średnia z U_CZY_PRACA_P3])</f>
        <v>-0.267362679296962</v>
      </c>
      <c r="E74" s="38"/>
      <c r="F74" s="38"/>
      <c r="G74" s="38"/>
      <c r="H74" s="58">
        <f t="shared" si="6"/>
        <v>0.22901831418259236</v>
      </c>
      <c r="I74" s="38"/>
      <c r="J74" s="38"/>
      <c r="K74" s="38"/>
      <c r="L74" s="39">
        <f>(-D74*SQRT(P$26-2))/(SQRT(1-D74^2))</f>
        <v>1.2408543472096139</v>
      </c>
    </row>
    <row r="75" spans="3:12" ht="28.5" x14ac:dyDescent="0.45">
      <c r="C75" s="40" t="s">
        <v>1829</v>
      </c>
      <c r="D75" s="58">
        <f>CORREL(Perspektywy2022_techn[Poz.],Perspektywy2022_techn[Średnia z U_E_ZAR_P1])</f>
        <v>-0.71623492902550312</v>
      </c>
      <c r="E75" s="38"/>
      <c r="F75" s="38"/>
      <c r="G75" s="38"/>
      <c r="H75" s="58">
        <f t="shared" si="6"/>
        <v>1.7746679993333023E-4</v>
      </c>
      <c r="I75" s="38"/>
      <c r="J75" s="38"/>
      <c r="K75" s="38"/>
      <c r="L75" s="39">
        <f>(-D75*SQRT(P$26-2))/(SQRT(1-D75^2))</f>
        <v>4.5898940212641053</v>
      </c>
    </row>
    <row r="76" spans="3:12" ht="28.5" x14ac:dyDescent="0.45">
      <c r="C76" s="40" t="s">
        <v>1830</v>
      </c>
      <c r="D76" s="58">
        <f>CORREL(Perspektywy2022_techn[Poz.],Perspektywy2022_techn[Średnia z U_E_ZAR_P3])</f>
        <v>-0.77150890809732564</v>
      </c>
      <c r="E76" s="38"/>
      <c r="F76" s="38"/>
      <c r="G76" s="38"/>
      <c r="H76" s="58" t="str">
        <f t="shared" si="6"/>
        <v>&lt;0,0001</v>
      </c>
      <c r="I76" s="38"/>
      <c r="J76" s="38"/>
      <c r="K76" s="38"/>
      <c r="L76" s="39">
        <f>(-D76*SQRT(P$26-2))/(SQRT(1-D76^2))</f>
        <v>5.4231252643891787</v>
      </c>
    </row>
    <row r="77" spans="3:12" x14ac:dyDescent="0.45">
      <c r="C77" s="40" t="s">
        <v>1831</v>
      </c>
      <c r="D77" s="58">
        <f>CORREL(Perspektywy2022_techn[Poz.],Perspektywy2022_techn[1R_WzględnyWskaźnikZarobków])</f>
        <v>-0.74547092233831869</v>
      </c>
      <c r="E77" s="38"/>
      <c r="F77" s="38"/>
      <c r="G77" s="38"/>
      <c r="H77" s="58" t="str">
        <f t="shared" si="6"/>
        <v>&lt;0,0001</v>
      </c>
      <c r="I77" s="38"/>
      <c r="J77" s="38"/>
      <c r="K77" s="38"/>
      <c r="L77" s="39">
        <f>(-D77*SQRT(P$26-2))/(SQRT(1-D77^2))</f>
        <v>5.0017351904972998</v>
      </c>
    </row>
    <row r="78" spans="3:12" x14ac:dyDescent="0.45">
      <c r="C78" s="40" t="s">
        <v>1832</v>
      </c>
      <c r="D78" s="58">
        <f>CORREL(Perspektywy2022_techn[Poz.],Perspektywy2022_techn[3R_WzględnyWskaźnikZarobków])</f>
        <v>-0.82763295977882945</v>
      </c>
      <c r="E78" s="38"/>
      <c r="F78" s="38"/>
      <c r="G78" s="38"/>
      <c r="H78" s="58" t="str">
        <f t="shared" si="6"/>
        <v>&lt;0,0001</v>
      </c>
      <c r="I78" s="38"/>
      <c r="J78" s="38"/>
      <c r="K78" s="38"/>
      <c r="L78" s="39">
        <f>(-D78*SQRT(P$26-2))/(SQRT(1-D78^2))</f>
        <v>6.5944893719426307</v>
      </c>
    </row>
    <row r="79" spans="3:12" x14ac:dyDescent="0.45">
      <c r="C79" s="40"/>
      <c r="D79" s="58"/>
      <c r="E79" s="38"/>
      <c r="F79" s="38"/>
      <c r="G79" s="38"/>
      <c r="H79" s="37"/>
      <c r="I79" s="38"/>
      <c r="J79" s="38"/>
      <c r="K79" s="38"/>
      <c r="L79" s="39"/>
    </row>
    <row r="80" spans="3:12" x14ac:dyDescent="0.45">
      <c r="C80" s="40" t="s">
        <v>1826</v>
      </c>
      <c r="D80" s="58">
        <f>CORREL(Perspektywy2022_techn[WskaźnikOcenyPunktowej],Perspektywy2022_techn[IWRA_1R])</f>
        <v>0.58291257700633115</v>
      </c>
      <c r="E80" s="38"/>
      <c r="F80" s="38"/>
      <c r="G80" s="38"/>
      <c r="H80" s="58">
        <f t="shared" ref="H80:H87" si="7">IF(TDIST(L80,P$26-2,2)&lt;0.0001,"&lt;0,0001",TDIST(L80,P$26-2,2))</f>
        <v>4.4117170351955651E-3</v>
      </c>
      <c r="I80" s="38"/>
      <c r="J80" s="38"/>
      <c r="K80" s="38"/>
      <c r="L80" s="41">
        <f>(D80*SQRT(P$26-2))/(SQRT(1-D80^2))</f>
        <v>3.2083106407137976</v>
      </c>
    </row>
    <row r="81" spans="3:12" x14ac:dyDescent="0.45">
      <c r="C81" s="40" t="s">
        <v>1825</v>
      </c>
      <c r="D81" s="58">
        <f>CORREL(Perspektywy2022_techn[WskaźnikOcenyPunktowej],Perspektywy2022_techn[IWRA_3R])</f>
        <v>0.82924098348498976</v>
      </c>
      <c r="E81" s="38"/>
      <c r="F81" s="38"/>
      <c r="G81" s="38"/>
      <c r="H81" s="37" t="str">
        <f t="shared" si="7"/>
        <v>&lt;0,0001</v>
      </c>
      <c r="I81" s="38"/>
      <c r="J81" s="38"/>
      <c r="K81" s="38"/>
      <c r="L81" s="41">
        <f>(D81*SQRT(P$26-2))/(SQRT(1-D81^2))</f>
        <v>6.6354208323794266</v>
      </c>
    </row>
    <row r="82" spans="3:12" ht="28.5" x14ac:dyDescent="0.45">
      <c r="C82" s="40" t="s">
        <v>1845</v>
      </c>
      <c r="D82" s="58">
        <f>CORREL(Perspektywy2022_techn[WskaźnikOcenyPunktowej],Perspektywy2022_techn[Średnia z U_CZY_PRACA_P1])</f>
        <v>-0.44286147485212657</v>
      </c>
      <c r="E82" s="38"/>
      <c r="F82" s="38"/>
      <c r="G82" s="38"/>
      <c r="H82" s="58">
        <f t="shared" si="7"/>
        <v>3.9008800190288531E-2</v>
      </c>
      <c r="I82" s="38"/>
      <c r="J82" s="38"/>
      <c r="K82" s="38"/>
      <c r="L82" s="39">
        <f>(-D82*SQRT(P$26-2))/(SQRT(1-D82^2))</f>
        <v>2.2089657690132265</v>
      </c>
    </row>
    <row r="83" spans="3:12" ht="28.5" x14ac:dyDescent="0.45">
      <c r="C83" s="40" t="s">
        <v>1846</v>
      </c>
      <c r="D83" s="61">
        <f>CORREL(Perspektywy2022_techn[WskaźnikOcenyPunktowej],Perspektywy2022_techn[Średnia z U_CZY_PRACA_P3])</f>
        <v>0.24359210916828836</v>
      </c>
      <c r="E83" s="38"/>
      <c r="F83" s="38"/>
      <c r="G83" s="38"/>
      <c r="H83" s="58">
        <f t="shared" si="7"/>
        <v>0.27465061181154315</v>
      </c>
      <c r="I83" s="38"/>
      <c r="J83" s="38"/>
      <c r="K83" s="38"/>
      <c r="L83" s="41">
        <f>(D83*SQRT(P$26-2))/(SQRT(1-D83^2))</f>
        <v>1.1232106415917305</v>
      </c>
    </row>
    <row r="84" spans="3:12" ht="28.5" x14ac:dyDescent="0.45">
      <c r="C84" s="40" t="s">
        <v>1847</v>
      </c>
      <c r="D84" s="58">
        <f>CORREL(Perspektywy2022_techn[WskaźnikOcenyPunktowej],Perspektywy2022_techn[Średnia z U_E_ZAR_P1])</f>
        <v>0.803005457961806</v>
      </c>
      <c r="E84" s="38"/>
      <c r="F84" s="38"/>
      <c r="G84" s="38"/>
      <c r="H84" s="58" t="str">
        <f t="shared" si="7"/>
        <v>&lt;0,0001</v>
      </c>
      <c r="I84" s="38"/>
      <c r="J84" s="38"/>
      <c r="K84" s="38"/>
      <c r="L84" s="41">
        <f>(D84*SQRT(P$26-2))/(SQRT(1-D84^2))</f>
        <v>6.0257051568218589</v>
      </c>
    </row>
    <row r="85" spans="3:12" ht="28.5" x14ac:dyDescent="0.45">
      <c r="C85" s="40" t="s">
        <v>1848</v>
      </c>
      <c r="D85" s="58">
        <f>CORREL(Perspektywy2022_techn[WskaźnikOcenyPunktowej],Perspektywy2022_techn[Średnia z U_E_ZAR_P3])</f>
        <v>0.82968672504301777</v>
      </c>
      <c r="E85" s="38"/>
      <c r="F85" s="38"/>
      <c r="G85" s="38"/>
      <c r="H85" s="58" t="str">
        <f t="shared" si="7"/>
        <v>&lt;0,0001</v>
      </c>
      <c r="I85" s="38"/>
      <c r="J85" s="38"/>
      <c r="K85" s="38"/>
      <c r="L85" s="41">
        <f>(D85*SQRT(P$26-2))/(SQRT(1-D85^2))</f>
        <v>6.6468598341019716</v>
      </c>
    </row>
    <row r="86" spans="3:12" x14ac:dyDescent="0.45">
      <c r="C86" s="40" t="s">
        <v>1849</v>
      </c>
      <c r="D86" s="58">
        <f>CORREL(Perspektywy2022_techn[WskaźnikOcenyPunktowej],Perspektywy2022_techn[1R_WzględnyWskaźnikZarobków])</f>
        <v>0.82150531806000915</v>
      </c>
      <c r="E86" s="38"/>
      <c r="F86" s="38"/>
      <c r="G86" s="38"/>
      <c r="H86" s="58" t="str">
        <f t="shared" si="7"/>
        <v>&lt;0,0001</v>
      </c>
      <c r="I86" s="38"/>
      <c r="J86" s="38"/>
      <c r="K86" s="38"/>
      <c r="L86" s="41">
        <f>(D86*SQRT(P$26-2))/(SQRT(1-D86^2))</f>
        <v>6.4431392075966185</v>
      </c>
    </row>
    <row r="87" spans="3:12" x14ac:dyDescent="0.45">
      <c r="C87" s="40" t="s">
        <v>1850</v>
      </c>
      <c r="D87" s="58">
        <f>CORREL(Perspektywy2022_techn[WskaźnikOcenyPunktowej],Perspektywy2022_techn[3R_WzględnyWskaźnikZarobków])</f>
        <v>0.86561967868951295</v>
      </c>
      <c r="E87" s="38"/>
      <c r="F87" s="38"/>
      <c r="G87" s="38"/>
      <c r="H87" s="58" t="str">
        <f t="shared" si="7"/>
        <v>&lt;0,0001</v>
      </c>
      <c r="I87" s="38"/>
      <c r="J87" s="38"/>
      <c r="K87" s="38"/>
      <c r="L87" s="41">
        <f>(D87*SQRT(P$26-2))/(SQRT(1-D87^2))</f>
        <v>7.7314815559301895</v>
      </c>
    </row>
    <row r="88" spans="3:12" x14ac:dyDescent="0.45">
      <c r="C88" s="40"/>
      <c r="D88" s="58"/>
      <c r="E88" s="38"/>
      <c r="F88" s="38"/>
      <c r="G88" s="38"/>
      <c r="H88" s="37"/>
      <c r="I88" s="38"/>
      <c r="J88" s="38"/>
      <c r="K88" s="38"/>
      <c r="L88" s="39"/>
    </row>
    <row r="89" spans="3:12" ht="28.5" x14ac:dyDescent="0.45">
      <c r="C89" s="40" t="s">
        <v>1822</v>
      </c>
      <c r="D89" s="61">
        <f>CORREL(Perspektywy2022_techn[WorldRankValue_Webometrics2023H1],Perspektywy2022_techn[IWRA_1R])</f>
        <v>-0.30376175218501422</v>
      </c>
      <c r="E89" s="38"/>
      <c r="F89" s="38"/>
      <c r="G89" s="38"/>
      <c r="H89" s="58">
        <f t="shared" ref="H89:H96" si="8">IF(TDIST(L89,P$26-2,2)&lt;0.0001,"&lt;0,0001",TDIST(L89,P$26-2,2))</f>
        <v>0.16933763912573144</v>
      </c>
      <c r="I89" s="38"/>
      <c r="J89" s="38"/>
      <c r="K89" s="38"/>
      <c r="L89" s="39">
        <f t="shared" ref="L89:L96" si="9">(-D89*SQRT(P$26-2))/(SQRT(1-D89^2))</f>
        <v>1.4258374921554771</v>
      </c>
    </row>
    <row r="90" spans="3:12" ht="28.5" x14ac:dyDescent="0.45">
      <c r="C90" s="40" t="s">
        <v>1821</v>
      </c>
      <c r="D90" s="58">
        <f>CORREL(Perspektywy2022_techn[WorldRankValue_Webometrics2023H1],Perspektywy2022_techn[IWRA_3R])</f>
        <v>-0.4798982226119341</v>
      </c>
      <c r="E90" s="38"/>
      <c r="F90" s="38"/>
      <c r="G90" s="38"/>
      <c r="H90" s="58">
        <f t="shared" si="8"/>
        <v>2.3804870235629362E-2</v>
      </c>
      <c r="I90" s="38"/>
      <c r="J90" s="38"/>
      <c r="K90" s="38"/>
      <c r="L90" s="39">
        <f t="shared" si="9"/>
        <v>2.4462680661459171</v>
      </c>
    </row>
    <row r="91" spans="3:12" ht="28.5" x14ac:dyDescent="0.45">
      <c r="C91" s="40" t="s">
        <v>1833</v>
      </c>
      <c r="D91" s="61">
        <f>CORREL(Perspektywy2022_techn[WorldRankValue_Webometrics2023H1],Perspektywy2022_techn[Średnia z U_CZY_PRACA_P1])</f>
        <v>-0.10282531143434488</v>
      </c>
      <c r="E91" s="38"/>
      <c r="F91" s="38"/>
      <c r="G91" s="38"/>
      <c r="H91" s="58">
        <f t="shared" si="8"/>
        <v>0.64885653089652306</v>
      </c>
      <c r="I91" s="38"/>
      <c r="J91" s="38"/>
      <c r="K91" s="38"/>
      <c r="L91" s="39">
        <f t="shared" si="9"/>
        <v>0.4622992219020966</v>
      </c>
    </row>
    <row r="92" spans="3:12" ht="28.5" x14ac:dyDescent="0.45">
      <c r="C92" s="40" t="s">
        <v>1834</v>
      </c>
      <c r="D92" s="58">
        <f>CORREL(Perspektywy2022_techn[WorldRankValue_Webometrics2023H1],Perspektywy2022_techn[Średnia z U_CZY_PRACA_P3])</f>
        <v>-0.81633997177225248</v>
      </c>
      <c r="E92" s="38"/>
      <c r="F92" s="38"/>
      <c r="G92" s="38"/>
      <c r="H92" s="58" t="str">
        <f t="shared" si="8"/>
        <v>&lt;0,0001</v>
      </c>
      <c r="I92" s="38"/>
      <c r="J92" s="38"/>
      <c r="K92" s="38"/>
      <c r="L92" s="39">
        <f t="shared" si="9"/>
        <v>6.3209181450621115</v>
      </c>
    </row>
    <row r="93" spans="3:12" ht="28.5" x14ac:dyDescent="0.45">
      <c r="C93" s="40" t="s">
        <v>1835</v>
      </c>
      <c r="D93" s="61">
        <f>CORREL(Perspektywy2022_techn[WorldRankValue_Webometrics2023H1],Perspektywy2022_techn[Średnia z U_E_ZAR_P1])</f>
        <v>-0.28098843021469605</v>
      </c>
      <c r="E93" s="38"/>
      <c r="F93" s="38"/>
      <c r="G93" s="38"/>
      <c r="H93" s="58">
        <f t="shared" si="8"/>
        <v>0.20525229413271903</v>
      </c>
      <c r="I93" s="38"/>
      <c r="J93" s="38"/>
      <c r="K93" s="38"/>
      <c r="L93" s="39">
        <f t="shared" si="9"/>
        <v>1.3093715275019322</v>
      </c>
    </row>
    <row r="94" spans="3:12" ht="28.5" x14ac:dyDescent="0.45">
      <c r="C94" s="40" t="s">
        <v>1836</v>
      </c>
      <c r="D94" s="61">
        <f>CORREL(Perspektywy2022_techn[WorldRankValue_Webometrics2023H1],Perspektywy2022_techn[Średnia z U_E_ZAR_P3])</f>
        <v>-0.27790429994694815</v>
      </c>
      <c r="E94" s="38"/>
      <c r="F94" s="38"/>
      <c r="G94" s="38"/>
      <c r="H94" s="58">
        <f t="shared" si="8"/>
        <v>0.21048056554194741</v>
      </c>
      <c r="I94" s="38"/>
      <c r="J94" s="38"/>
      <c r="K94" s="38"/>
      <c r="L94" s="39">
        <f t="shared" si="9"/>
        <v>1.2937897890057102</v>
      </c>
    </row>
    <row r="95" spans="3:12" ht="28.5" x14ac:dyDescent="0.45">
      <c r="C95" s="40" t="s">
        <v>1837</v>
      </c>
      <c r="D95" s="62">
        <f>CORREL(Perspektywy2022_techn[WorldRankValue_Webometrics2023H1],Perspektywy2022_techn[1R_WzględnyWskaźnikZarobków])</f>
        <v>-0.37773107241787346</v>
      </c>
      <c r="E95" s="38"/>
      <c r="F95" s="38"/>
      <c r="G95" s="38"/>
      <c r="H95" s="58">
        <f t="shared" si="8"/>
        <v>8.3064491707734292E-2</v>
      </c>
      <c r="I95" s="38"/>
      <c r="J95" s="38"/>
      <c r="K95" s="38"/>
      <c r="L95" s="39">
        <f t="shared" si="9"/>
        <v>1.8244267240404339</v>
      </c>
    </row>
    <row r="96" spans="3:12" ht="28.5" x14ac:dyDescent="0.45">
      <c r="C96" s="40" t="s">
        <v>1838</v>
      </c>
      <c r="D96" s="62">
        <f>CORREL(Perspektywy2022_techn[WorldRankValue_Webometrics2023H1],Perspektywy2022_techn[3R_WzględnyWskaźnikZarobków])</f>
        <v>-0.36513472667548275</v>
      </c>
      <c r="E96" s="38"/>
      <c r="F96" s="38"/>
      <c r="G96" s="38"/>
      <c r="H96" s="58">
        <f t="shared" si="8"/>
        <v>9.4735345710988642E-2</v>
      </c>
      <c r="I96" s="38"/>
      <c r="J96" s="38"/>
      <c r="K96" s="38"/>
      <c r="L96" s="39">
        <f t="shared" si="9"/>
        <v>1.754040406457853</v>
      </c>
    </row>
    <row r="97" spans="3:12" x14ac:dyDescent="0.45">
      <c r="C97" s="40"/>
      <c r="D97" s="58"/>
      <c r="E97" s="38"/>
      <c r="F97" s="38"/>
      <c r="G97" s="38"/>
      <c r="H97" s="58"/>
      <c r="I97" s="38"/>
      <c r="J97" s="38"/>
      <c r="K97" s="38"/>
      <c r="L97" s="39"/>
    </row>
    <row r="98" spans="3:12" ht="28.5" x14ac:dyDescent="0.45">
      <c r="C98" s="40" t="s">
        <v>1824</v>
      </c>
      <c r="D98" s="61">
        <f>CORREL(Perspektywy2022_techn[CountryWebometrics2023H1],Perspektywy2022_techn[IWRA_1R])</f>
        <v>-0.32107875002084296</v>
      </c>
      <c r="E98" s="38"/>
      <c r="F98" s="38"/>
      <c r="G98" s="38"/>
      <c r="H98" s="58">
        <f t="shared" ref="H98:H105" si="10">IF(TDIST(L98,P$26-2,2)&lt;0.0001,"&lt;0,0001",TDIST(L98,P$26-2,2))</f>
        <v>0.14511930401143475</v>
      </c>
      <c r="I98" s="38"/>
      <c r="J98" s="38"/>
      <c r="K98" s="38"/>
      <c r="L98" s="39">
        <f t="shared" ref="L98:L105" si="11">(-D98*SQRT(P$26-2))/(SQRT(1-D98^2))</f>
        <v>1.5161860863386054</v>
      </c>
    </row>
    <row r="99" spans="3:12" ht="28.5" x14ac:dyDescent="0.45">
      <c r="C99" s="40" t="s">
        <v>1823</v>
      </c>
      <c r="D99" s="58">
        <f>CORREL(Perspektywy2022_techn[CountryWebometrics2023H1],Perspektywy2022_techn[IWRA_3R])</f>
        <v>-0.51596290601674144</v>
      </c>
      <c r="E99" s="38"/>
      <c r="F99" s="38"/>
      <c r="G99" s="38"/>
      <c r="H99" s="58">
        <f t="shared" si="10"/>
        <v>1.3969060844662463E-2</v>
      </c>
      <c r="I99" s="38"/>
      <c r="J99" s="38"/>
      <c r="K99" s="38"/>
      <c r="L99" s="39">
        <f t="shared" si="11"/>
        <v>2.6937039812608505</v>
      </c>
    </row>
    <row r="100" spans="3:12" ht="28.5" x14ac:dyDescent="0.45">
      <c r="C100" s="40" t="s">
        <v>1839</v>
      </c>
      <c r="D100" s="61">
        <f>CORREL(Perspektywy2022_techn[CountryWebometrics2023H1],Perspektywy2022_techn[Średnia z U_CZY_PRACA_P1])</f>
        <v>-5.7203372370818517E-2</v>
      </c>
      <c r="E100" s="38"/>
      <c r="F100" s="38"/>
      <c r="G100" s="38"/>
      <c r="H100" s="58">
        <f t="shared" si="10"/>
        <v>0.80038209096276414</v>
      </c>
      <c r="I100" s="38"/>
      <c r="J100" s="38"/>
      <c r="K100" s="38"/>
      <c r="L100" s="39">
        <f t="shared" si="11"/>
        <v>0.25624084079665743</v>
      </c>
    </row>
    <row r="101" spans="3:12" ht="28.5" x14ac:dyDescent="0.45">
      <c r="C101" s="40" t="s">
        <v>1840</v>
      </c>
      <c r="D101" s="58">
        <f>CORREL(Perspektywy2022_techn[CountryWebometrics2023H1],Perspektywy2022_techn[Średnia z U_CZY_PRACA_P3])</f>
        <v>-0.80371953885859582</v>
      </c>
      <c r="E101" s="38"/>
      <c r="F101" s="38"/>
      <c r="G101" s="38"/>
      <c r="H101" s="58" t="str">
        <f t="shared" si="10"/>
        <v>&lt;0,0001</v>
      </c>
      <c r="I101" s="38"/>
      <c r="J101" s="38"/>
      <c r="K101" s="38"/>
      <c r="L101" s="39">
        <f t="shared" si="11"/>
        <v>6.0408281977890947</v>
      </c>
    </row>
    <row r="102" spans="3:12" ht="28.5" x14ac:dyDescent="0.45">
      <c r="C102" s="40" t="s">
        <v>1841</v>
      </c>
      <c r="D102" s="61">
        <f>CORREL(Perspektywy2022_techn[CountryWebometrics2023H1],Perspektywy2022_techn[Średnia z U_E_ZAR_P1])</f>
        <v>-0.31831016154538783</v>
      </c>
      <c r="E102" s="38"/>
      <c r="F102" s="38"/>
      <c r="G102" s="38"/>
      <c r="H102" s="58">
        <f t="shared" si="10"/>
        <v>0.14881661470434232</v>
      </c>
      <c r="I102" s="38"/>
      <c r="J102" s="38"/>
      <c r="K102" s="38"/>
      <c r="L102" s="39">
        <f t="shared" si="11"/>
        <v>1.5016312264800491</v>
      </c>
    </row>
    <row r="103" spans="3:12" ht="28.5" x14ac:dyDescent="0.45">
      <c r="C103" s="40" t="s">
        <v>1842</v>
      </c>
      <c r="D103" s="61">
        <f>CORREL(Perspektywy2022_techn[CountryWebometrics2023H1],Perspektywy2022_techn[Średnia z U_E_ZAR_P3])</f>
        <v>-0.32070592051188512</v>
      </c>
      <c r="E103" s="38"/>
      <c r="F103" s="38"/>
      <c r="G103" s="38"/>
      <c r="H103" s="58">
        <f t="shared" si="10"/>
        <v>0.14561337963215482</v>
      </c>
      <c r="I103" s="38"/>
      <c r="J103" s="38"/>
      <c r="K103" s="38"/>
      <c r="L103" s="39">
        <f t="shared" si="11"/>
        <v>1.5142235567575388</v>
      </c>
    </row>
    <row r="104" spans="3:12" ht="28.5" x14ac:dyDescent="0.45">
      <c r="C104" s="40" t="s">
        <v>1843</v>
      </c>
      <c r="D104" s="62">
        <f>CORREL(Perspektywy2022_techn[CountryWebometrics2023H1],Perspektywy2022_techn[1R_WzględnyWskaźnikZarobków])</f>
        <v>-0.41573768260819116</v>
      </c>
      <c r="E104" s="38"/>
      <c r="F104" s="38"/>
      <c r="G104" s="38"/>
      <c r="H104" s="58">
        <f t="shared" si="10"/>
        <v>5.4317183451823729E-2</v>
      </c>
      <c r="I104" s="38"/>
      <c r="J104" s="38"/>
      <c r="K104" s="38"/>
      <c r="L104" s="39">
        <f t="shared" si="11"/>
        <v>2.0442737610386796</v>
      </c>
    </row>
    <row r="105" spans="3:12" ht="28.5" x14ac:dyDescent="0.45">
      <c r="C105" s="40" t="s">
        <v>1844</v>
      </c>
      <c r="D105" s="62">
        <f>CORREL(Perspektywy2022_techn[CountryWebometrics2023H1],Perspektywy2022_techn[3R_WzględnyWskaźnikZarobków])</f>
        <v>-0.41277938093360317</v>
      </c>
      <c r="E105" s="38"/>
      <c r="F105" s="38"/>
      <c r="G105" s="38"/>
      <c r="H105" s="58">
        <f t="shared" si="10"/>
        <v>5.623228614578181E-2</v>
      </c>
      <c r="I105" s="38"/>
      <c r="J105" s="38"/>
      <c r="K105" s="38"/>
      <c r="L105" s="39">
        <f t="shared" si="11"/>
        <v>2.0267266163784132</v>
      </c>
    </row>
    <row r="107" spans="3:12" x14ac:dyDescent="0.45">
      <c r="C107" s="40" t="s">
        <v>1870</v>
      </c>
      <c r="D107" s="58">
        <f>CORREL(Perspektywy2022_techn[IWRA_1R],Perspektywy2022_techn[Prestiż (łącznie ocena przez kadrę i uznanie międzynar - 12%)])</f>
        <v>0.63569389608423321</v>
      </c>
      <c r="E107" s="38"/>
      <c r="F107" s="38"/>
      <c r="G107" s="38"/>
      <c r="H107" s="58">
        <f t="shared" ref="H107:H116" si="12">IF(TDIST(L107,P$26-2,2)&lt;0.0001,"&lt;0,0001",TDIST(L107,P$26-2,2))</f>
        <v>1.4751071179095732E-3</v>
      </c>
      <c r="I107" s="38"/>
      <c r="J107" s="38"/>
      <c r="K107" s="38"/>
      <c r="L107" s="41">
        <f t="shared" ref="L107:L116" si="13">(D107*SQRT(P$26-2))/(SQRT(1-D107^2))</f>
        <v>3.6828056330010552</v>
      </c>
    </row>
    <row r="108" spans="3:12" ht="28.5" x14ac:dyDescent="0.45">
      <c r="C108" s="40" t="s">
        <v>1889</v>
      </c>
      <c r="D108" s="58">
        <f>CORREL(Perspektywy2022_techn[IWRA_1R],Perspektywy2022_techn[ocena przez kadrę akademicką (10%)])</f>
        <v>0.64482198729178941</v>
      </c>
      <c r="E108" s="38"/>
      <c r="F108" s="38"/>
      <c r="G108" s="38"/>
      <c r="H108" s="58">
        <f t="shared" si="12"/>
        <v>1.1958502140939236E-3</v>
      </c>
      <c r="I108" s="38"/>
      <c r="J108" s="38"/>
      <c r="K108" s="38"/>
      <c r="L108" s="41">
        <f t="shared" si="13"/>
        <v>3.772874400115295</v>
      </c>
    </row>
    <row r="109" spans="3:12" x14ac:dyDescent="0.45">
      <c r="C109" s="40" t="s">
        <v>1871</v>
      </c>
      <c r="D109" s="58">
        <f>CORREL(Perspektywy2022_techn[IWRA_1R],Perspektywy2022_techn[ekonomiczne losy absolwentów (12%)])</f>
        <v>0.822205705441444</v>
      </c>
      <c r="E109" s="38"/>
      <c r="F109" s="38"/>
      <c r="G109" s="38"/>
      <c r="H109" s="58" t="str">
        <f t="shared" si="12"/>
        <v>&lt;0,0001</v>
      </c>
      <c r="I109" s="38"/>
      <c r="J109" s="38"/>
      <c r="K109" s="38"/>
      <c r="L109" s="41">
        <f t="shared" si="13"/>
        <v>6.460079650690072</v>
      </c>
    </row>
    <row r="110" spans="3:12" x14ac:dyDescent="0.45">
      <c r="C110" s="40" t="s">
        <v>1872</v>
      </c>
      <c r="D110" s="58">
        <f>CORREL(Perspektywy2022_techn[IWRA_1R],Perspektywy2022_techn[Potencjał naukowy (łącznie ocena parametryczna, kadra, uprawnienia - 15%)])</f>
        <v>0.41348424630135994</v>
      </c>
      <c r="E110" s="38"/>
      <c r="F110" s="38"/>
      <c r="G110" s="38"/>
      <c r="H110" s="58">
        <f t="shared" si="12"/>
        <v>5.577134611769774E-2</v>
      </c>
      <c r="I110" s="38"/>
      <c r="J110" s="38"/>
      <c r="K110" s="38"/>
      <c r="L110" s="41">
        <f t="shared" si="13"/>
        <v>2.0309004619349604</v>
      </c>
    </row>
    <row r="111" spans="3:12" ht="28.5" x14ac:dyDescent="0.45">
      <c r="C111" s="40" t="s">
        <v>1873</v>
      </c>
      <c r="D111" s="61">
        <f>CORREL(Perspektywy2022_techn[IWRA_1R],Perspektywy2022_techn[ocena parametryczna (10%)])</f>
        <v>0.33383253159381526</v>
      </c>
      <c r="E111" s="38"/>
      <c r="F111" s="38"/>
      <c r="G111" s="38"/>
      <c r="H111" s="58">
        <f t="shared" si="12"/>
        <v>0.12892393459633431</v>
      </c>
      <c r="I111" s="38"/>
      <c r="J111" s="38"/>
      <c r="K111" s="38"/>
      <c r="L111" s="41">
        <f t="shared" si="13"/>
        <v>1.5838034721282441</v>
      </c>
    </row>
    <row r="112" spans="3:12" x14ac:dyDescent="0.45">
      <c r="C112" s="40" t="s">
        <v>1874</v>
      </c>
      <c r="D112" s="61">
        <f>CORREL(Perspektywy2022_techn[IWRA_1R],Perspektywy2022_techn[Innowacyjność (łącznie patenty i SDG - 8%)])</f>
        <v>-0.10273402762082176</v>
      </c>
      <c r="E112" s="38"/>
      <c r="F112" s="38"/>
      <c r="G112" s="38"/>
      <c r="H112" s="58">
        <f t="shared" si="12"/>
        <v>0.64914888764170908</v>
      </c>
      <c r="I112" s="38"/>
      <c r="J112" s="38"/>
      <c r="K112" s="38"/>
      <c r="L112" s="39">
        <f>(-D112*SQRT(P$26-2))/(SQRT(1-D112^2))</f>
        <v>0.46188443313368388</v>
      </c>
    </row>
    <row r="113" spans="3:12" ht="28.5" x14ac:dyDescent="0.45">
      <c r="C113" s="40" t="s">
        <v>1875</v>
      </c>
      <c r="D113" s="62">
        <f>CORREL(Perspektywy2022_techn[IWRA_1R],Perspektywy2022_techn[Efektywność naukowa (łącznie efektywność funduszy, rozwój kadry, nadane stopnie i publikacje - 28%)])</f>
        <v>0.42073189032980235</v>
      </c>
      <c r="E113" s="38"/>
      <c r="F113" s="38"/>
      <c r="G113" s="38"/>
      <c r="H113" s="58">
        <f t="shared" si="12"/>
        <v>5.1198425054311596E-2</v>
      </c>
      <c r="I113" s="38"/>
      <c r="J113" s="38"/>
      <c r="K113" s="38"/>
      <c r="L113" s="41">
        <f t="shared" si="13"/>
        <v>2.0740754691133452</v>
      </c>
    </row>
    <row r="114" spans="3:12" x14ac:dyDescent="0.45">
      <c r="C114" s="40" t="s">
        <v>1876</v>
      </c>
      <c r="D114" s="58">
        <f>CORREL(Perspektywy2022_techn[IWRA_1R],Perspektywy2022_techn[Publikacje naukowe (łącznie publikacje, cytowania FWCI, CWVI, Top10 - 15%)])</f>
        <v>0.49189155669106693</v>
      </c>
      <c r="E114" s="38"/>
      <c r="F114" s="38"/>
      <c r="G114" s="38"/>
      <c r="H114" s="58">
        <f t="shared" si="12"/>
        <v>2.0058846509463612E-2</v>
      </c>
      <c r="I114" s="38"/>
      <c r="J114" s="38"/>
      <c r="K114" s="38"/>
      <c r="L114" s="41">
        <f t="shared" si="13"/>
        <v>2.5266060510199804</v>
      </c>
    </row>
    <row r="115" spans="3:12" x14ac:dyDescent="0.45">
      <c r="C115" s="40" t="s">
        <v>1877</v>
      </c>
      <c r="D115" s="58">
        <f>CORREL(Perspektywy2022_techn[IWRA_1R],Perspektywy2022_techn[Warunki kształcenia (łącznie dostępność i akredytacje - 10%)])</f>
        <v>0.6231224855285683</v>
      </c>
      <c r="E115" s="38"/>
      <c r="F115" s="38"/>
      <c r="G115" s="38"/>
      <c r="H115" s="58">
        <f t="shared" si="12"/>
        <v>1.9488612130326949E-3</v>
      </c>
      <c r="I115" s="38"/>
      <c r="J115" s="38"/>
      <c r="K115" s="38"/>
      <c r="L115" s="41">
        <f t="shared" si="13"/>
        <v>3.5629740589322325</v>
      </c>
    </row>
    <row r="116" spans="3:12" ht="28.5" x14ac:dyDescent="0.45">
      <c r="C116" s="40" t="s">
        <v>1878</v>
      </c>
      <c r="D116" s="58">
        <f>CORREL(Perspektywy2022_techn[IWRA_1R],Perspektywy2022_techn[Umiędzynarodowienie (łącznie studia, studiujący i nauczyciele zagraniczni , wymiany, ICI i in. - 15%)])</f>
        <v>0.58594509646278259</v>
      </c>
      <c r="E116" s="38"/>
      <c r="F116" s="38"/>
      <c r="G116" s="38"/>
      <c r="H116" s="58">
        <f t="shared" si="12"/>
        <v>4.1631012417228091E-3</v>
      </c>
      <c r="I116" s="38"/>
      <c r="J116" s="38"/>
      <c r="K116" s="38"/>
      <c r="L116" s="41">
        <f t="shared" si="13"/>
        <v>3.2336937082660602</v>
      </c>
    </row>
    <row r="118" spans="3:12" x14ac:dyDescent="0.45">
      <c r="C118" s="40" t="s">
        <v>1869</v>
      </c>
      <c r="D118" s="58">
        <f>CORREL(Perspektywy2022_techn[IWRA_3R],Perspektywy2022_techn[Prestiż (łącznie ocena przez kadrę i uznanie międzynar - 12%)])</f>
        <v>0.82666581659576555</v>
      </c>
      <c r="E118" s="38"/>
      <c r="F118" s="38"/>
      <c r="G118" s="38"/>
      <c r="H118" s="37" t="str">
        <f t="shared" ref="H118:H127" si="14">IF(TDIST(L118,P$26-2,2)&lt;0.0001,"&lt;0,0001",TDIST(L118,P$26-2,2))</f>
        <v>&lt;0,0001</v>
      </c>
      <c r="I118" s="38"/>
      <c r="J118" s="38"/>
      <c r="K118" s="38"/>
      <c r="L118" s="41">
        <f t="shared" ref="L118:L127" si="15">(D118*SQRT(P$26-2))/(SQRT(1-D118^2))</f>
        <v>6.5701202316450935</v>
      </c>
    </row>
    <row r="119" spans="3:12" ht="28.5" x14ac:dyDescent="0.45">
      <c r="C119" s="40" t="s">
        <v>1890</v>
      </c>
      <c r="D119" s="58">
        <f>CORREL(Perspektywy2022_techn[IWRA_3R],Perspektywy2022_techn[ocena przez kadrę akademicką (10%)])</f>
        <v>0.82295134067746945</v>
      </c>
      <c r="E119" s="38"/>
      <c r="F119" s="38"/>
      <c r="G119" s="38"/>
      <c r="H119" s="37" t="str">
        <f t="shared" si="14"/>
        <v>&lt;0,0001</v>
      </c>
      <c r="I119" s="38"/>
      <c r="J119" s="38"/>
      <c r="K119" s="38"/>
      <c r="L119" s="41">
        <f t="shared" si="15"/>
        <v>6.4782140774968529</v>
      </c>
    </row>
    <row r="120" spans="3:12" x14ac:dyDescent="0.45">
      <c r="C120" s="40" t="s">
        <v>1879</v>
      </c>
      <c r="D120" s="58">
        <f>CORREL(Perspektywy2022_techn[IWRA_3R],Perspektywy2022_techn[ekonomiczne losy absolwentów (12%)])</f>
        <v>0.97224687020412914</v>
      </c>
      <c r="E120" s="38"/>
      <c r="F120" s="38"/>
      <c r="G120" s="38"/>
      <c r="H120" s="37" t="str">
        <f t="shared" si="14"/>
        <v>&lt;0,0001</v>
      </c>
      <c r="I120" s="38"/>
      <c r="J120" s="38"/>
      <c r="K120" s="38"/>
      <c r="L120" s="41">
        <f t="shared" si="15"/>
        <v>18.584673274266475</v>
      </c>
    </row>
    <row r="121" spans="3:12" x14ac:dyDescent="0.45">
      <c r="C121" s="40" t="s">
        <v>1880</v>
      </c>
      <c r="D121" s="58">
        <f>CORREL(Perspektywy2022_techn[IWRA_3R],Perspektywy2022_techn[Potencjał naukowy (łącznie ocena parametryczna, kadra, uprawnienia - 15%)])</f>
        <v>0.70328751081123653</v>
      </c>
      <c r="E121" s="38"/>
      <c r="F121" s="38"/>
      <c r="G121" s="38"/>
      <c r="H121" s="58">
        <f t="shared" si="14"/>
        <v>2.6104721955621434E-4</v>
      </c>
      <c r="I121" s="38"/>
      <c r="J121" s="38"/>
      <c r="K121" s="38"/>
      <c r="L121" s="41">
        <f t="shared" si="15"/>
        <v>4.4242128059344878</v>
      </c>
    </row>
    <row r="122" spans="3:12" ht="28.5" x14ac:dyDescent="0.45">
      <c r="C122" s="40" t="s">
        <v>1881</v>
      </c>
      <c r="D122" s="58">
        <f>CORREL(Perspektywy2022_techn[IWRA_3R],Perspektywy2022_techn[ocena parametryczna (10%)])</f>
        <v>0.67171277861903289</v>
      </c>
      <c r="E122" s="38"/>
      <c r="F122" s="38"/>
      <c r="G122" s="38"/>
      <c r="H122" s="58">
        <f t="shared" si="14"/>
        <v>6.186193966706238E-4</v>
      </c>
      <c r="I122" s="38"/>
      <c r="J122" s="38"/>
      <c r="K122" s="38"/>
      <c r="L122" s="41">
        <f t="shared" si="15"/>
        <v>4.0549993416324002</v>
      </c>
    </row>
    <row r="123" spans="3:12" x14ac:dyDescent="0.45">
      <c r="C123" s="40" t="s">
        <v>1882</v>
      </c>
      <c r="D123" s="61">
        <f>CORREL(Perspektywy2022_techn[IWRA_3R],Perspektywy2022_techn[Innowacyjność (łącznie patenty i SDG - 8%)])</f>
        <v>0.20580636470313102</v>
      </c>
      <c r="E123" s="38"/>
      <c r="F123" s="38"/>
      <c r="G123" s="38"/>
      <c r="H123" s="58">
        <f t="shared" si="14"/>
        <v>0.35816865560395794</v>
      </c>
      <c r="I123" s="38"/>
      <c r="J123" s="38"/>
      <c r="K123" s="38"/>
      <c r="L123" s="41">
        <f t="shared" si="15"/>
        <v>0.9405281796984194</v>
      </c>
    </row>
    <row r="124" spans="3:12" ht="28.5" x14ac:dyDescent="0.45">
      <c r="C124" s="40" t="s">
        <v>1883</v>
      </c>
      <c r="D124" s="58">
        <f>CORREL(Perspektywy2022_techn[IWRA_3R],Perspektywy2022_techn[Efektywność naukowa (łącznie efektywność funduszy, rozwój kadry, nadane stopnie i publikacje - 28%)])</f>
        <v>0.71527572635759928</v>
      </c>
      <c r="E124" s="38"/>
      <c r="F124" s="38"/>
      <c r="G124" s="38"/>
      <c r="H124" s="58">
        <f t="shared" si="14"/>
        <v>1.8274247367326148E-4</v>
      </c>
      <c r="I124" s="38"/>
      <c r="J124" s="38"/>
      <c r="K124" s="38"/>
      <c r="L124" s="41">
        <f t="shared" si="15"/>
        <v>4.5772988382596775</v>
      </c>
    </row>
    <row r="125" spans="3:12" x14ac:dyDescent="0.45">
      <c r="C125" s="40" t="s">
        <v>1884</v>
      </c>
      <c r="D125" s="58">
        <f>CORREL(Perspektywy2022_techn[IWRA_3R],Perspektywy2022_techn[Publikacje naukowe (łącznie publikacje, cytowania FWCI, CWVI, Top10 - 15%)])</f>
        <v>0.6738111926770235</v>
      </c>
      <c r="E125" s="38"/>
      <c r="F125" s="38"/>
      <c r="G125" s="38"/>
      <c r="H125" s="58">
        <f t="shared" si="14"/>
        <v>5.8598820343426191E-4</v>
      </c>
      <c r="I125" s="38"/>
      <c r="J125" s="38"/>
      <c r="K125" s="38"/>
      <c r="L125" s="41">
        <f t="shared" si="15"/>
        <v>4.0781712380449013</v>
      </c>
    </row>
    <row r="126" spans="3:12" x14ac:dyDescent="0.45">
      <c r="C126" s="40" t="s">
        <v>1885</v>
      </c>
      <c r="D126" s="58">
        <f>CORREL(Perspektywy2022_techn[IWRA_3R],Perspektywy2022_techn[Warunki kształcenia (łącznie dostępność i akredytacje - 10%)])</f>
        <v>0.73441581277012913</v>
      </c>
      <c r="E126" s="38"/>
      <c r="F126" s="38"/>
      <c r="G126" s="38"/>
      <c r="H126" s="37" t="str">
        <f t="shared" si="14"/>
        <v>&lt;0,0001</v>
      </c>
      <c r="I126" s="38"/>
      <c r="J126" s="38"/>
      <c r="K126" s="38"/>
      <c r="L126" s="41">
        <f t="shared" si="15"/>
        <v>4.8392638077848309</v>
      </c>
    </row>
    <row r="127" spans="3:12" ht="28.5" x14ac:dyDescent="0.45">
      <c r="C127" s="40" t="s">
        <v>1886</v>
      </c>
      <c r="D127" s="58">
        <f>CORREL(Perspektywy2022_techn[IWRA_3R],Perspektywy2022_techn[Umiędzynarodowienie (łącznie studia, studiujący i nauczyciele zagraniczni , wymiany, ICI i in. - 15%)])</f>
        <v>0.69305731686037186</v>
      </c>
      <c r="E127" s="38"/>
      <c r="F127" s="38"/>
      <c r="G127" s="38"/>
      <c r="H127" s="58">
        <f t="shared" si="14"/>
        <v>3.4925838716452491E-4</v>
      </c>
      <c r="I127" s="38"/>
      <c r="J127" s="38"/>
      <c r="K127" s="38"/>
      <c r="L127" s="41">
        <f t="shared" si="15"/>
        <v>4.2995170710494088</v>
      </c>
    </row>
  </sheetData>
  <phoneticPr fontId="11" type="noConversion"/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85809-3AC0-4738-B00B-FA64E82DE6DF}">
  <dimension ref="B2:H388"/>
  <sheetViews>
    <sheetView workbookViewId="0">
      <selection activeCell="B2" sqref="B2:H25"/>
    </sheetView>
  </sheetViews>
  <sheetFormatPr defaultRowHeight="14.25" x14ac:dyDescent="0.45"/>
  <cols>
    <col min="3" max="3" width="9" customWidth="1"/>
    <col min="4" max="4" width="99.6640625" customWidth="1"/>
    <col min="5" max="5" width="29.9296875" bestFit="1" customWidth="1"/>
    <col min="6" max="6" width="13.59765625" customWidth="1"/>
    <col min="7" max="7" width="16.1328125" customWidth="1"/>
    <col min="8" max="8" width="16.3984375" customWidth="1"/>
  </cols>
  <sheetData>
    <row r="2" spans="2:8" ht="57" x14ac:dyDescent="0.45">
      <c r="B2" t="s">
        <v>1412</v>
      </c>
      <c r="C2" s="16" t="s">
        <v>1798</v>
      </c>
      <c r="D2" t="s">
        <v>628</v>
      </c>
      <c r="E2" t="s">
        <v>1799</v>
      </c>
      <c r="F2" t="s">
        <v>789</v>
      </c>
      <c r="G2" t="s">
        <v>790</v>
      </c>
      <c r="H2" t="s">
        <v>791</v>
      </c>
    </row>
    <row r="3" spans="2:8" x14ac:dyDescent="0.45">
      <c r="B3">
        <v>27</v>
      </c>
      <c r="C3">
        <v>1742</v>
      </c>
      <c r="D3" t="s">
        <v>1439</v>
      </c>
      <c r="E3" t="s">
        <v>1373</v>
      </c>
      <c r="F3">
        <v>4185</v>
      </c>
      <c r="G3">
        <v>1478</v>
      </c>
      <c r="H3">
        <v>1663</v>
      </c>
    </row>
    <row r="4" spans="2:8" x14ac:dyDescent="0.45">
      <c r="B4">
        <v>38</v>
      </c>
      <c r="C4">
        <v>2178</v>
      </c>
      <c r="D4" t="s">
        <v>1450</v>
      </c>
      <c r="E4" t="s">
        <v>1374</v>
      </c>
      <c r="F4">
        <v>5100</v>
      </c>
      <c r="G4">
        <v>1606</v>
      </c>
      <c r="H4">
        <v>2269</v>
      </c>
    </row>
    <row r="5" spans="2:8" x14ac:dyDescent="0.45">
      <c r="B5">
        <v>47</v>
      </c>
      <c r="C5">
        <v>2788</v>
      </c>
      <c r="D5" t="s">
        <v>1459</v>
      </c>
      <c r="E5" t="s">
        <v>1410</v>
      </c>
      <c r="F5">
        <v>5695</v>
      </c>
      <c r="G5">
        <v>3799</v>
      </c>
      <c r="H5">
        <v>2607</v>
      </c>
    </row>
    <row r="6" spans="2:8" x14ac:dyDescent="0.45">
      <c r="B6">
        <v>73</v>
      </c>
      <c r="C6">
        <v>4906</v>
      </c>
      <c r="D6" t="s">
        <v>1484</v>
      </c>
      <c r="E6" t="s">
        <v>1383</v>
      </c>
      <c r="F6">
        <v>8572</v>
      </c>
      <c r="G6">
        <v>6553</v>
      </c>
      <c r="H6">
        <v>4193</v>
      </c>
    </row>
    <row r="7" spans="2:8" x14ac:dyDescent="0.45">
      <c r="B7">
        <v>52</v>
      </c>
      <c r="C7">
        <v>3057</v>
      </c>
      <c r="D7" t="s">
        <v>1464</v>
      </c>
      <c r="E7" t="s">
        <v>1380</v>
      </c>
      <c r="F7">
        <v>6169</v>
      </c>
      <c r="G7">
        <v>3127</v>
      </c>
      <c r="H7">
        <v>3152</v>
      </c>
    </row>
    <row r="8" spans="2:8" x14ac:dyDescent="0.45">
      <c r="B8">
        <v>8</v>
      </c>
      <c r="C8">
        <v>908</v>
      </c>
      <c r="D8" t="s">
        <v>1420</v>
      </c>
      <c r="E8" t="s">
        <v>1366</v>
      </c>
      <c r="F8">
        <v>1683</v>
      </c>
      <c r="G8">
        <v>856</v>
      </c>
      <c r="H8">
        <v>917</v>
      </c>
    </row>
    <row r="9" spans="2:8" x14ac:dyDescent="0.45">
      <c r="B9">
        <v>5</v>
      </c>
      <c r="C9">
        <v>642</v>
      </c>
      <c r="D9" t="s">
        <v>1417</v>
      </c>
      <c r="E9" t="s">
        <v>1332</v>
      </c>
      <c r="F9">
        <v>810</v>
      </c>
      <c r="G9">
        <v>688</v>
      </c>
      <c r="H9">
        <v>763</v>
      </c>
    </row>
    <row r="10" spans="2:8" x14ac:dyDescent="0.45">
      <c r="B10">
        <v>54</v>
      </c>
      <c r="C10">
        <v>3209</v>
      </c>
      <c r="D10" t="s">
        <v>1465</v>
      </c>
      <c r="E10" t="s">
        <v>1377</v>
      </c>
      <c r="F10">
        <v>7000</v>
      </c>
      <c r="G10">
        <v>2518</v>
      </c>
      <c r="H10">
        <v>3337</v>
      </c>
    </row>
    <row r="11" spans="2:8" x14ac:dyDescent="0.45">
      <c r="B11">
        <v>9</v>
      </c>
      <c r="C11">
        <v>925</v>
      </c>
      <c r="D11" t="s">
        <v>1421</v>
      </c>
      <c r="E11" t="s">
        <v>1368</v>
      </c>
      <c r="F11">
        <v>1437</v>
      </c>
      <c r="G11">
        <v>887</v>
      </c>
      <c r="H11">
        <v>1048</v>
      </c>
    </row>
    <row r="12" spans="2:8" x14ac:dyDescent="0.45">
      <c r="B12">
        <v>14</v>
      </c>
      <c r="C12">
        <v>1087</v>
      </c>
      <c r="D12" t="s">
        <v>1426</v>
      </c>
      <c r="E12" t="s">
        <v>1376</v>
      </c>
      <c r="F12">
        <v>653</v>
      </c>
      <c r="G12">
        <v>1751</v>
      </c>
      <c r="H12">
        <v>1840</v>
      </c>
    </row>
    <row r="13" spans="2:8" x14ac:dyDescent="0.45">
      <c r="B13">
        <v>7</v>
      </c>
      <c r="C13">
        <v>782</v>
      </c>
      <c r="D13" t="s">
        <v>1419</v>
      </c>
      <c r="E13" t="s">
        <v>1369</v>
      </c>
      <c r="F13">
        <v>708</v>
      </c>
      <c r="G13">
        <v>927</v>
      </c>
      <c r="H13">
        <v>1171</v>
      </c>
    </row>
    <row r="14" spans="2:8" x14ac:dyDescent="0.45">
      <c r="B14">
        <v>53</v>
      </c>
      <c r="C14">
        <v>3097</v>
      </c>
      <c r="D14" t="s">
        <v>1379</v>
      </c>
      <c r="E14" t="s">
        <v>1379</v>
      </c>
      <c r="F14">
        <v>8933</v>
      </c>
      <c r="G14">
        <v>3607</v>
      </c>
      <c r="H14">
        <v>2396</v>
      </c>
    </row>
    <row r="15" spans="2:8" x14ac:dyDescent="0.45">
      <c r="B15">
        <v>10</v>
      </c>
      <c r="C15">
        <v>963</v>
      </c>
      <c r="D15" t="s">
        <v>1422</v>
      </c>
      <c r="E15" t="s">
        <v>1367</v>
      </c>
      <c r="F15">
        <v>1040</v>
      </c>
      <c r="G15">
        <v>1126</v>
      </c>
      <c r="H15">
        <v>1287</v>
      </c>
    </row>
    <row r="16" spans="2:8" x14ac:dyDescent="0.45">
      <c r="B16">
        <v>20</v>
      </c>
      <c r="C16">
        <v>1418</v>
      </c>
      <c r="D16" t="s">
        <v>1432</v>
      </c>
      <c r="E16" t="s">
        <v>1370</v>
      </c>
      <c r="F16">
        <v>2065</v>
      </c>
      <c r="G16">
        <v>1650</v>
      </c>
      <c r="H16">
        <v>1704</v>
      </c>
    </row>
    <row r="17" spans="2:8" x14ac:dyDescent="0.45">
      <c r="B17">
        <v>19</v>
      </c>
      <c r="C17">
        <v>1402</v>
      </c>
      <c r="D17" t="s">
        <v>1431</v>
      </c>
      <c r="E17" t="s">
        <v>1372</v>
      </c>
      <c r="F17">
        <v>2086</v>
      </c>
      <c r="G17">
        <v>1414</v>
      </c>
      <c r="H17">
        <v>1710</v>
      </c>
    </row>
    <row r="18" spans="2:8" x14ac:dyDescent="0.45">
      <c r="B18">
        <v>48</v>
      </c>
      <c r="C18">
        <v>2864</v>
      </c>
      <c r="D18" t="s">
        <v>1460</v>
      </c>
      <c r="E18" t="s">
        <v>1378</v>
      </c>
      <c r="F18">
        <v>5692</v>
      </c>
      <c r="G18">
        <v>2622</v>
      </c>
      <c r="H18">
        <v>3049</v>
      </c>
    </row>
    <row r="19" spans="2:8" x14ac:dyDescent="0.45">
      <c r="B19">
        <v>16</v>
      </c>
      <c r="C19">
        <v>1167</v>
      </c>
      <c r="D19" t="s">
        <v>1428</v>
      </c>
      <c r="E19" t="s">
        <v>1365</v>
      </c>
      <c r="F19">
        <v>2677</v>
      </c>
      <c r="G19">
        <v>1232</v>
      </c>
      <c r="H19">
        <v>1021</v>
      </c>
    </row>
    <row r="20" spans="2:8" x14ac:dyDescent="0.45">
      <c r="B20">
        <v>18</v>
      </c>
      <c r="C20">
        <v>1268</v>
      </c>
      <c r="D20" t="s">
        <v>1430</v>
      </c>
      <c r="E20" t="s">
        <v>1371</v>
      </c>
      <c r="F20">
        <v>1161</v>
      </c>
      <c r="G20">
        <v>1880</v>
      </c>
      <c r="H20">
        <v>1809</v>
      </c>
    </row>
    <row r="21" spans="2:8" x14ac:dyDescent="0.45">
      <c r="B21">
        <v>28</v>
      </c>
      <c r="C21">
        <v>1762</v>
      </c>
      <c r="D21" t="s">
        <v>1440</v>
      </c>
      <c r="E21" t="s">
        <v>1375</v>
      </c>
      <c r="F21">
        <v>2659</v>
      </c>
      <c r="G21">
        <v>1354</v>
      </c>
      <c r="H21">
        <v>2256</v>
      </c>
    </row>
    <row r="22" spans="2:8" x14ac:dyDescent="0.45">
      <c r="B22">
        <v>82</v>
      </c>
      <c r="C22">
        <v>6002</v>
      </c>
      <c r="D22" s="12" t="s">
        <v>1493</v>
      </c>
      <c r="E22" t="s">
        <v>1800</v>
      </c>
      <c r="F22">
        <v>4665</v>
      </c>
      <c r="G22">
        <v>2991</v>
      </c>
      <c r="H22">
        <v>7212</v>
      </c>
    </row>
    <row r="23" spans="2:8" x14ac:dyDescent="0.45">
      <c r="B23">
        <v>61</v>
      </c>
      <c r="C23">
        <v>3819</v>
      </c>
      <c r="D23" t="s">
        <v>1472</v>
      </c>
      <c r="E23" t="s">
        <v>1382</v>
      </c>
      <c r="F23">
        <v>7590</v>
      </c>
      <c r="G23">
        <v>3480</v>
      </c>
      <c r="H23">
        <v>3955</v>
      </c>
    </row>
    <row r="24" spans="2:8" x14ac:dyDescent="0.45">
      <c r="B24">
        <v>321</v>
      </c>
      <c r="C24">
        <v>23121</v>
      </c>
      <c r="D24" t="s">
        <v>1732</v>
      </c>
      <c r="E24" t="s">
        <v>1381</v>
      </c>
      <c r="F24">
        <v>22851</v>
      </c>
      <c r="G24">
        <v>6553</v>
      </c>
      <c r="H24">
        <v>7212</v>
      </c>
    </row>
    <row r="25" spans="2:8" x14ac:dyDescent="0.45">
      <c r="B25">
        <v>3</v>
      </c>
      <c r="C25">
        <v>560</v>
      </c>
      <c r="D25" t="s">
        <v>1415</v>
      </c>
      <c r="E25" t="s">
        <v>1364</v>
      </c>
      <c r="F25">
        <v>728</v>
      </c>
      <c r="G25">
        <v>768</v>
      </c>
      <c r="H25">
        <v>610</v>
      </c>
    </row>
    <row r="26" spans="2:8" x14ac:dyDescent="0.45">
      <c r="B26">
        <v>1</v>
      </c>
      <c r="C26">
        <v>338</v>
      </c>
      <c r="D26" t="s">
        <v>1413</v>
      </c>
      <c r="E26">
        <v>0</v>
      </c>
      <c r="F26">
        <v>181</v>
      </c>
      <c r="G26">
        <v>648</v>
      </c>
      <c r="H26">
        <v>535</v>
      </c>
    </row>
    <row r="27" spans="2:8" x14ac:dyDescent="0.45">
      <c r="B27">
        <v>2</v>
      </c>
      <c r="C27">
        <v>392</v>
      </c>
      <c r="D27" t="s">
        <v>1414</v>
      </c>
      <c r="E27">
        <v>0</v>
      </c>
      <c r="F27">
        <v>532</v>
      </c>
      <c r="G27">
        <v>541</v>
      </c>
      <c r="H27">
        <v>425</v>
      </c>
    </row>
    <row r="28" spans="2:8" x14ac:dyDescent="0.45">
      <c r="B28">
        <v>4</v>
      </c>
      <c r="C28">
        <v>613</v>
      </c>
      <c r="D28" t="s">
        <v>1416</v>
      </c>
      <c r="E28">
        <v>0</v>
      </c>
      <c r="F28">
        <v>588</v>
      </c>
      <c r="G28">
        <v>700</v>
      </c>
      <c r="H28">
        <v>863</v>
      </c>
    </row>
    <row r="29" spans="2:8" x14ac:dyDescent="0.45">
      <c r="B29">
        <v>6</v>
      </c>
      <c r="C29">
        <v>675</v>
      </c>
      <c r="D29" t="s">
        <v>1418</v>
      </c>
      <c r="E29">
        <v>0</v>
      </c>
      <c r="F29">
        <v>575</v>
      </c>
      <c r="G29">
        <v>793</v>
      </c>
      <c r="H29">
        <v>1022</v>
      </c>
    </row>
    <row r="30" spans="2:8" x14ac:dyDescent="0.45">
      <c r="B30">
        <v>11</v>
      </c>
      <c r="C30">
        <v>964</v>
      </c>
      <c r="D30" t="s">
        <v>1423</v>
      </c>
      <c r="E30">
        <v>0</v>
      </c>
      <c r="F30">
        <v>1093</v>
      </c>
      <c r="G30">
        <v>960</v>
      </c>
      <c r="H30">
        <v>1305</v>
      </c>
    </row>
    <row r="31" spans="2:8" x14ac:dyDescent="0.45">
      <c r="B31">
        <v>12</v>
      </c>
      <c r="C31">
        <v>966</v>
      </c>
      <c r="D31" t="s">
        <v>1424</v>
      </c>
      <c r="E31">
        <v>0</v>
      </c>
      <c r="F31">
        <v>2008</v>
      </c>
      <c r="G31">
        <v>1175</v>
      </c>
      <c r="H31">
        <v>865</v>
      </c>
    </row>
    <row r="32" spans="2:8" x14ac:dyDescent="0.45">
      <c r="B32">
        <v>13</v>
      </c>
      <c r="C32">
        <v>1012</v>
      </c>
      <c r="D32" t="s">
        <v>1425</v>
      </c>
      <c r="E32">
        <v>0</v>
      </c>
      <c r="F32">
        <v>1313</v>
      </c>
      <c r="G32">
        <v>845</v>
      </c>
      <c r="H32">
        <v>1326</v>
      </c>
    </row>
    <row r="33" spans="2:8" x14ac:dyDescent="0.45">
      <c r="B33">
        <v>15</v>
      </c>
      <c r="C33">
        <v>1136</v>
      </c>
      <c r="D33" t="s">
        <v>1427</v>
      </c>
      <c r="E33">
        <v>0</v>
      </c>
      <c r="F33">
        <v>1498</v>
      </c>
      <c r="G33">
        <v>773</v>
      </c>
      <c r="H33">
        <v>1550</v>
      </c>
    </row>
    <row r="34" spans="2:8" x14ac:dyDescent="0.45">
      <c r="B34">
        <v>17</v>
      </c>
      <c r="C34">
        <v>1203</v>
      </c>
      <c r="D34" t="s">
        <v>1429</v>
      </c>
      <c r="E34">
        <v>0</v>
      </c>
      <c r="F34">
        <v>2112</v>
      </c>
      <c r="G34">
        <v>1111</v>
      </c>
      <c r="H34">
        <v>1332</v>
      </c>
    </row>
    <row r="35" spans="2:8" x14ac:dyDescent="0.45">
      <c r="B35">
        <v>21</v>
      </c>
      <c r="C35">
        <v>1496</v>
      </c>
      <c r="D35" t="s">
        <v>1433</v>
      </c>
      <c r="E35">
        <v>0</v>
      </c>
      <c r="F35">
        <v>2804</v>
      </c>
      <c r="G35">
        <v>1553</v>
      </c>
      <c r="H35">
        <v>1607</v>
      </c>
    </row>
    <row r="36" spans="2:8" x14ac:dyDescent="0.45">
      <c r="B36">
        <v>22</v>
      </c>
      <c r="C36">
        <v>1538</v>
      </c>
      <c r="D36" t="s">
        <v>1434</v>
      </c>
      <c r="E36">
        <v>0</v>
      </c>
      <c r="F36">
        <v>2179</v>
      </c>
      <c r="G36">
        <v>2649</v>
      </c>
      <c r="H36">
        <v>1691</v>
      </c>
    </row>
    <row r="37" spans="2:8" x14ac:dyDescent="0.45">
      <c r="B37">
        <v>23</v>
      </c>
      <c r="C37">
        <v>1579</v>
      </c>
      <c r="D37" t="s">
        <v>1435</v>
      </c>
      <c r="E37">
        <v>0</v>
      </c>
      <c r="F37">
        <v>4846</v>
      </c>
      <c r="G37">
        <v>1635</v>
      </c>
      <c r="H37">
        <v>1209</v>
      </c>
    </row>
    <row r="38" spans="2:8" x14ac:dyDescent="0.45">
      <c r="B38">
        <v>24</v>
      </c>
      <c r="C38">
        <v>1625</v>
      </c>
      <c r="D38" t="s">
        <v>1436</v>
      </c>
      <c r="E38">
        <v>0</v>
      </c>
      <c r="F38">
        <v>4940</v>
      </c>
      <c r="G38">
        <v>1903</v>
      </c>
      <c r="H38">
        <v>1211</v>
      </c>
    </row>
    <row r="39" spans="2:8" x14ac:dyDescent="0.45">
      <c r="B39">
        <v>25</v>
      </c>
      <c r="C39">
        <v>1653</v>
      </c>
      <c r="D39" t="s">
        <v>1437</v>
      </c>
      <c r="E39">
        <v>0</v>
      </c>
      <c r="F39">
        <v>6024</v>
      </c>
      <c r="G39">
        <v>2210</v>
      </c>
      <c r="H39">
        <v>981</v>
      </c>
    </row>
    <row r="40" spans="2:8" x14ac:dyDescent="0.45">
      <c r="B40">
        <v>26</v>
      </c>
      <c r="C40">
        <v>1723</v>
      </c>
      <c r="D40" t="s">
        <v>1438</v>
      </c>
      <c r="E40">
        <v>0</v>
      </c>
      <c r="F40">
        <v>5897</v>
      </c>
      <c r="G40">
        <v>1683</v>
      </c>
      <c r="H40">
        <v>1205</v>
      </c>
    </row>
    <row r="41" spans="2:8" x14ac:dyDescent="0.45">
      <c r="B41">
        <v>29</v>
      </c>
      <c r="C41">
        <v>1826</v>
      </c>
      <c r="D41" t="s">
        <v>1441</v>
      </c>
      <c r="E41">
        <v>0</v>
      </c>
      <c r="F41">
        <v>2729</v>
      </c>
      <c r="G41">
        <v>1878</v>
      </c>
      <c r="H41">
        <v>2203</v>
      </c>
    </row>
    <row r="42" spans="2:8" x14ac:dyDescent="0.45">
      <c r="B42">
        <v>30</v>
      </c>
      <c r="C42">
        <v>1946</v>
      </c>
      <c r="D42" t="s">
        <v>1442</v>
      </c>
      <c r="E42">
        <v>0</v>
      </c>
      <c r="F42">
        <v>2066</v>
      </c>
      <c r="G42">
        <v>2113</v>
      </c>
      <c r="H42">
        <v>2755</v>
      </c>
    </row>
    <row r="43" spans="2:8" x14ac:dyDescent="0.45">
      <c r="B43">
        <v>31</v>
      </c>
      <c r="C43">
        <v>1964</v>
      </c>
      <c r="D43" t="s">
        <v>1443</v>
      </c>
      <c r="E43">
        <v>0</v>
      </c>
      <c r="F43">
        <v>5519</v>
      </c>
      <c r="G43">
        <v>1618</v>
      </c>
      <c r="H43">
        <v>1691</v>
      </c>
    </row>
    <row r="44" spans="2:8" x14ac:dyDescent="0.45">
      <c r="B44">
        <v>32</v>
      </c>
      <c r="C44">
        <v>2023</v>
      </c>
      <c r="D44" t="s">
        <v>1444</v>
      </c>
      <c r="E44">
        <v>0</v>
      </c>
      <c r="F44">
        <v>6838</v>
      </c>
      <c r="G44">
        <v>2103</v>
      </c>
      <c r="H44">
        <v>1407</v>
      </c>
    </row>
    <row r="45" spans="2:8" x14ac:dyDescent="0.45">
      <c r="B45">
        <v>33</v>
      </c>
      <c r="C45">
        <v>2066</v>
      </c>
      <c r="D45" t="s">
        <v>1445</v>
      </c>
      <c r="E45">
        <v>0</v>
      </c>
      <c r="F45">
        <v>5356</v>
      </c>
      <c r="G45">
        <v>2061</v>
      </c>
      <c r="H45">
        <v>1840</v>
      </c>
    </row>
    <row r="46" spans="2:8" x14ac:dyDescent="0.45">
      <c r="B46">
        <v>34</v>
      </c>
      <c r="C46">
        <v>2098</v>
      </c>
      <c r="D46" t="s">
        <v>1446</v>
      </c>
      <c r="E46">
        <v>0</v>
      </c>
      <c r="F46">
        <v>6745</v>
      </c>
      <c r="G46">
        <v>2806</v>
      </c>
      <c r="H46">
        <v>1436</v>
      </c>
    </row>
    <row r="47" spans="2:8" x14ac:dyDescent="0.45">
      <c r="B47">
        <v>35</v>
      </c>
      <c r="C47">
        <v>2127</v>
      </c>
      <c r="D47" t="s">
        <v>1447</v>
      </c>
      <c r="E47">
        <v>0</v>
      </c>
      <c r="F47">
        <v>3442</v>
      </c>
      <c r="G47">
        <v>1536</v>
      </c>
      <c r="H47">
        <v>2733</v>
      </c>
    </row>
    <row r="48" spans="2:8" x14ac:dyDescent="0.45">
      <c r="B48">
        <v>36</v>
      </c>
      <c r="C48">
        <v>2146</v>
      </c>
      <c r="D48" t="s">
        <v>1448</v>
      </c>
      <c r="E48">
        <v>0</v>
      </c>
      <c r="F48">
        <v>5144</v>
      </c>
      <c r="G48">
        <v>2121</v>
      </c>
      <c r="H48">
        <v>2047</v>
      </c>
    </row>
    <row r="49" spans="2:8" x14ac:dyDescent="0.45">
      <c r="B49">
        <v>37</v>
      </c>
      <c r="C49">
        <v>2161</v>
      </c>
      <c r="D49" t="s">
        <v>1449</v>
      </c>
      <c r="E49">
        <v>0</v>
      </c>
      <c r="F49">
        <v>2397</v>
      </c>
      <c r="G49">
        <v>1399</v>
      </c>
      <c r="H49">
        <v>3284</v>
      </c>
    </row>
    <row r="50" spans="2:8" x14ac:dyDescent="0.45">
      <c r="B50">
        <v>39</v>
      </c>
      <c r="C50">
        <v>2208</v>
      </c>
      <c r="D50" t="s">
        <v>1451</v>
      </c>
      <c r="E50">
        <v>0</v>
      </c>
      <c r="F50">
        <v>2650</v>
      </c>
      <c r="G50">
        <v>1898</v>
      </c>
      <c r="H50">
        <v>3081</v>
      </c>
    </row>
    <row r="51" spans="2:8" x14ac:dyDescent="0.45">
      <c r="B51">
        <v>40</v>
      </c>
      <c r="C51">
        <v>2279</v>
      </c>
      <c r="D51" t="s">
        <v>1452</v>
      </c>
      <c r="E51">
        <v>0</v>
      </c>
      <c r="F51">
        <v>3646</v>
      </c>
      <c r="G51">
        <v>2080</v>
      </c>
      <c r="H51">
        <v>2777</v>
      </c>
    </row>
    <row r="52" spans="2:8" x14ac:dyDescent="0.45">
      <c r="B52">
        <v>41</v>
      </c>
      <c r="C52">
        <v>2332</v>
      </c>
      <c r="D52" t="s">
        <v>1453</v>
      </c>
      <c r="E52">
        <v>0</v>
      </c>
      <c r="F52">
        <v>7205</v>
      </c>
      <c r="G52">
        <v>2983</v>
      </c>
      <c r="H52">
        <v>1635</v>
      </c>
    </row>
    <row r="53" spans="2:8" x14ac:dyDescent="0.45">
      <c r="B53">
        <v>42</v>
      </c>
      <c r="C53">
        <v>2339</v>
      </c>
      <c r="D53" t="s">
        <v>1454</v>
      </c>
      <c r="E53">
        <v>0</v>
      </c>
      <c r="F53">
        <v>5329</v>
      </c>
      <c r="G53">
        <v>1980</v>
      </c>
      <c r="H53">
        <v>2356</v>
      </c>
    </row>
    <row r="54" spans="2:8" x14ac:dyDescent="0.45">
      <c r="B54">
        <v>43</v>
      </c>
      <c r="C54">
        <v>2515</v>
      </c>
      <c r="D54" t="s">
        <v>1455</v>
      </c>
      <c r="E54">
        <v>0</v>
      </c>
      <c r="F54">
        <v>3377</v>
      </c>
      <c r="G54">
        <v>2209</v>
      </c>
      <c r="H54">
        <v>3284</v>
      </c>
    </row>
    <row r="55" spans="2:8" x14ac:dyDescent="0.45">
      <c r="B55">
        <v>44</v>
      </c>
      <c r="C55">
        <v>2557</v>
      </c>
      <c r="D55" t="s">
        <v>1456</v>
      </c>
      <c r="E55">
        <v>0</v>
      </c>
      <c r="F55">
        <v>7182</v>
      </c>
      <c r="G55">
        <v>3737</v>
      </c>
      <c r="H55">
        <v>1823</v>
      </c>
    </row>
    <row r="56" spans="2:8" x14ac:dyDescent="0.45">
      <c r="B56">
        <v>45</v>
      </c>
      <c r="C56">
        <v>2656</v>
      </c>
      <c r="D56" t="s">
        <v>1457</v>
      </c>
      <c r="E56">
        <v>0</v>
      </c>
      <c r="F56">
        <v>6045</v>
      </c>
      <c r="G56">
        <v>6553</v>
      </c>
      <c r="H56">
        <v>1102</v>
      </c>
    </row>
    <row r="57" spans="2:8" x14ac:dyDescent="0.45">
      <c r="B57">
        <v>46</v>
      </c>
      <c r="C57">
        <v>2663</v>
      </c>
      <c r="D57" t="s">
        <v>1458</v>
      </c>
      <c r="E57">
        <v>0</v>
      </c>
      <c r="F57">
        <v>4206</v>
      </c>
      <c r="G57">
        <v>1836</v>
      </c>
      <c r="H57">
        <v>3420</v>
      </c>
    </row>
    <row r="58" spans="2:8" x14ac:dyDescent="0.45">
      <c r="B58">
        <v>49</v>
      </c>
      <c r="C58">
        <v>2924</v>
      </c>
      <c r="D58" t="s">
        <v>1461</v>
      </c>
      <c r="E58">
        <v>0</v>
      </c>
      <c r="F58">
        <v>3996</v>
      </c>
      <c r="G58">
        <v>2892</v>
      </c>
      <c r="H58">
        <v>3669</v>
      </c>
    </row>
    <row r="59" spans="2:8" x14ac:dyDescent="0.45">
      <c r="B59">
        <v>50</v>
      </c>
      <c r="C59">
        <v>2985</v>
      </c>
      <c r="D59" t="s">
        <v>1462</v>
      </c>
      <c r="E59">
        <v>0</v>
      </c>
      <c r="F59">
        <v>2509</v>
      </c>
      <c r="G59">
        <v>6553</v>
      </c>
      <c r="H59">
        <v>2588</v>
      </c>
    </row>
    <row r="60" spans="2:8" x14ac:dyDescent="0.45">
      <c r="B60">
        <v>51</v>
      </c>
      <c r="C60">
        <v>3043</v>
      </c>
      <c r="D60" t="s">
        <v>1463</v>
      </c>
      <c r="E60">
        <v>0</v>
      </c>
      <c r="F60">
        <v>5961</v>
      </c>
      <c r="G60">
        <v>6553</v>
      </c>
      <c r="H60">
        <v>1596</v>
      </c>
    </row>
    <row r="61" spans="2:8" x14ac:dyDescent="0.45">
      <c r="B61">
        <v>55</v>
      </c>
      <c r="C61">
        <v>3238</v>
      </c>
      <c r="D61" t="s">
        <v>1466</v>
      </c>
      <c r="E61">
        <v>0</v>
      </c>
      <c r="F61">
        <v>3793</v>
      </c>
      <c r="G61">
        <v>6553</v>
      </c>
      <c r="H61">
        <v>2531</v>
      </c>
    </row>
    <row r="62" spans="2:8" x14ac:dyDescent="0.45">
      <c r="B62">
        <v>56</v>
      </c>
      <c r="C62">
        <v>3263</v>
      </c>
      <c r="D62" t="s">
        <v>1467</v>
      </c>
      <c r="E62">
        <v>0</v>
      </c>
      <c r="F62">
        <v>5391</v>
      </c>
      <c r="G62">
        <v>2221</v>
      </c>
      <c r="H62">
        <v>3969</v>
      </c>
    </row>
    <row r="63" spans="2:8" x14ac:dyDescent="0.45">
      <c r="B63">
        <v>57</v>
      </c>
      <c r="C63">
        <v>3283</v>
      </c>
      <c r="D63" t="s">
        <v>1468</v>
      </c>
      <c r="E63">
        <v>0</v>
      </c>
      <c r="F63">
        <v>3660</v>
      </c>
      <c r="G63">
        <v>6553</v>
      </c>
      <c r="H63">
        <v>2635</v>
      </c>
    </row>
    <row r="64" spans="2:8" x14ac:dyDescent="0.45">
      <c r="B64">
        <v>58</v>
      </c>
      <c r="C64">
        <v>3336</v>
      </c>
      <c r="D64" t="s">
        <v>1469</v>
      </c>
      <c r="E64">
        <v>0</v>
      </c>
      <c r="F64">
        <v>9080</v>
      </c>
      <c r="G64">
        <v>6553</v>
      </c>
      <c r="H64">
        <v>1386</v>
      </c>
    </row>
    <row r="65" spans="2:8" x14ac:dyDescent="0.45">
      <c r="B65">
        <v>59</v>
      </c>
      <c r="C65">
        <v>3393</v>
      </c>
      <c r="D65" t="s">
        <v>1470</v>
      </c>
      <c r="E65">
        <v>0</v>
      </c>
      <c r="F65">
        <v>3815</v>
      </c>
      <c r="G65">
        <v>6553</v>
      </c>
      <c r="H65">
        <v>2761</v>
      </c>
    </row>
    <row r="66" spans="2:8" x14ac:dyDescent="0.45">
      <c r="B66">
        <v>60</v>
      </c>
      <c r="C66">
        <v>3679</v>
      </c>
      <c r="D66" t="s">
        <v>1471</v>
      </c>
      <c r="E66">
        <v>0</v>
      </c>
      <c r="F66">
        <v>6303</v>
      </c>
      <c r="G66">
        <v>2945</v>
      </c>
      <c r="H66">
        <v>4224</v>
      </c>
    </row>
    <row r="67" spans="2:8" x14ac:dyDescent="0.45">
      <c r="B67">
        <v>62</v>
      </c>
      <c r="C67">
        <v>3875</v>
      </c>
      <c r="D67" t="s">
        <v>1473</v>
      </c>
      <c r="E67">
        <v>0</v>
      </c>
      <c r="F67">
        <v>9305</v>
      </c>
      <c r="G67">
        <v>4238</v>
      </c>
      <c r="H67">
        <v>3435</v>
      </c>
    </row>
    <row r="68" spans="2:8" x14ac:dyDescent="0.45">
      <c r="B68">
        <v>63</v>
      </c>
      <c r="C68">
        <v>4020</v>
      </c>
      <c r="D68" t="s">
        <v>1474</v>
      </c>
      <c r="E68">
        <v>0</v>
      </c>
      <c r="F68">
        <v>10814</v>
      </c>
      <c r="G68">
        <v>4763</v>
      </c>
      <c r="H68">
        <v>3188</v>
      </c>
    </row>
    <row r="69" spans="2:8" x14ac:dyDescent="0.45">
      <c r="B69">
        <v>64</v>
      </c>
      <c r="C69">
        <v>4161</v>
      </c>
      <c r="D69" t="s">
        <v>1475</v>
      </c>
      <c r="E69">
        <v>0</v>
      </c>
      <c r="F69">
        <v>3348</v>
      </c>
      <c r="G69">
        <v>6553</v>
      </c>
      <c r="H69">
        <v>4283</v>
      </c>
    </row>
    <row r="70" spans="2:8" x14ac:dyDescent="0.45">
      <c r="B70">
        <v>65</v>
      </c>
      <c r="C70">
        <v>4282</v>
      </c>
      <c r="D70" t="s">
        <v>1476</v>
      </c>
      <c r="E70">
        <v>0</v>
      </c>
      <c r="F70">
        <v>7712</v>
      </c>
      <c r="G70">
        <v>3550</v>
      </c>
      <c r="H70">
        <v>4728</v>
      </c>
    </row>
    <row r="71" spans="2:8" x14ac:dyDescent="0.45">
      <c r="B71">
        <v>66</v>
      </c>
      <c r="C71">
        <v>4401</v>
      </c>
      <c r="D71" t="s">
        <v>1477</v>
      </c>
      <c r="E71">
        <v>0</v>
      </c>
      <c r="F71">
        <v>7901</v>
      </c>
      <c r="G71">
        <v>6553</v>
      </c>
      <c r="H71">
        <v>3357</v>
      </c>
    </row>
    <row r="72" spans="2:8" x14ac:dyDescent="0.45">
      <c r="B72">
        <v>67</v>
      </c>
      <c r="C72">
        <v>4470</v>
      </c>
      <c r="D72" t="s">
        <v>1478</v>
      </c>
      <c r="E72">
        <v>0</v>
      </c>
      <c r="F72">
        <v>10672</v>
      </c>
      <c r="G72">
        <v>5105</v>
      </c>
      <c r="H72">
        <v>3969</v>
      </c>
    </row>
    <row r="73" spans="2:8" x14ac:dyDescent="0.45">
      <c r="B73">
        <v>68</v>
      </c>
      <c r="C73">
        <v>4688</v>
      </c>
      <c r="D73" t="s">
        <v>1479</v>
      </c>
      <c r="E73">
        <v>0</v>
      </c>
      <c r="F73">
        <v>9545</v>
      </c>
      <c r="G73">
        <v>4343</v>
      </c>
      <c r="H73">
        <v>4850</v>
      </c>
    </row>
    <row r="74" spans="2:8" x14ac:dyDescent="0.45">
      <c r="B74">
        <v>69</v>
      </c>
      <c r="C74">
        <v>4776</v>
      </c>
      <c r="D74" t="s">
        <v>1480</v>
      </c>
      <c r="E74">
        <v>0</v>
      </c>
      <c r="F74">
        <v>5931</v>
      </c>
      <c r="G74">
        <v>6553</v>
      </c>
      <c r="H74">
        <v>4615</v>
      </c>
    </row>
    <row r="75" spans="2:8" x14ac:dyDescent="0.45">
      <c r="B75">
        <v>70</v>
      </c>
      <c r="C75">
        <v>4788</v>
      </c>
      <c r="D75" t="s">
        <v>1481</v>
      </c>
      <c r="E75">
        <v>0</v>
      </c>
      <c r="F75">
        <v>1179</v>
      </c>
      <c r="G75">
        <v>1428</v>
      </c>
      <c r="H75">
        <v>7212</v>
      </c>
    </row>
    <row r="76" spans="2:8" x14ac:dyDescent="0.45">
      <c r="B76">
        <v>71</v>
      </c>
      <c r="C76">
        <v>4856</v>
      </c>
      <c r="D76" t="s">
        <v>1482</v>
      </c>
      <c r="E76">
        <v>0</v>
      </c>
      <c r="F76">
        <v>7214</v>
      </c>
      <c r="G76">
        <v>6553</v>
      </c>
      <c r="H76">
        <v>4425</v>
      </c>
    </row>
    <row r="77" spans="2:8" x14ac:dyDescent="0.45">
      <c r="B77">
        <v>72</v>
      </c>
      <c r="C77">
        <v>4886</v>
      </c>
      <c r="D77" t="s">
        <v>1483</v>
      </c>
      <c r="E77">
        <v>0</v>
      </c>
      <c r="F77">
        <v>8219</v>
      </c>
      <c r="G77">
        <v>4669</v>
      </c>
      <c r="H77">
        <v>5302</v>
      </c>
    </row>
    <row r="78" spans="2:8" x14ac:dyDescent="0.45">
      <c r="B78">
        <v>74</v>
      </c>
      <c r="C78">
        <v>4937</v>
      </c>
      <c r="D78" t="s">
        <v>1485</v>
      </c>
      <c r="E78">
        <v>0</v>
      </c>
      <c r="F78">
        <v>10960</v>
      </c>
      <c r="G78">
        <v>5739</v>
      </c>
      <c r="H78">
        <v>4550</v>
      </c>
    </row>
    <row r="79" spans="2:8" x14ac:dyDescent="0.45">
      <c r="B79">
        <v>75</v>
      </c>
      <c r="C79">
        <v>5269</v>
      </c>
      <c r="D79" t="s">
        <v>1486</v>
      </c>
      <c r="E79">
        <v>0</v>
      </c>
      <c r="F79">
        <v>6013</v>
      </c>
      <c r="G79">
        <v>3366</v>
      </c>
      <c r="H79">
        <v>6365</v>
      </c>
    </row>
    <row r="80" spans="2:8" x14ac:dyDescent="0.45">
      <c r="B80">
        <v>76</v>
      </c>
      <c r="C80">
        <v>5328</v>
      </c>
      <c r="D80" t="s">
        <v>1487</v>
      </c>
      <c r="E80">
        <v>0</v>
      </c>
      <c r="F80">
        <v>2966</v>
      </c>
      <c r="G80">
        <v>1323</v>
      </c>
      <c r="H80">
        <v>7212</v>
      </c>
    </row>
    <row r="81" spans="2:8" x14ac:dyDescent="0.45">
      <c r="B81">
        <v>77</v>
      </c>
      <c r="C81">
        <v>5373</v>
      </c>
      <c r="D81" t="s">
        <v>1488</v>
      </c>
      <c r="E81">
        <v>0</v>
      </c>
      <c r="F81">
        <v>10084</v>
      </c>
      <c r="G81">
        <v>6553</v>
      </c>
      <c r="H81">
        <v>4728</v>
      </c>
    </row>
    <row r="82" spans="2:8" x14ac:dyDescent="0.45">
      <c r="B82">
        <v>78</v>
      </c>
      <c r="C82">
        <v>5522</v>
      </c>
      <c r="D82" t="s">
        <v>1489</v>
      </c>
      <c r="E82">
        <v>0</v>
      </c>
      <c r="F82">
        <v>9982</v>
      </c>
      <c r="G82">
        <v>6186</v>
      </c>
      <c r="H82">
        <v>5348</v>
      </c>
    </row>
    <row r="83" spans="2:8" x14ac:dyDescent="0.45">
      <c r="B83">
        <v>79</v>
      </c>
      <c r="C83">
        <v>5810</v>
      </c>
      <c r="D83" t="s">
        <v>1490</v>
      </c>
      <c r="E83">
        <v>0</v>
      </c>
      <c r="F83">
        <v>5377</v>
      </c>
      <c r="G83">
        <v>1243</v>
      </c>
      <c r="H83">
        <v>7212</v>
      </c>
    </row>
    <row r="84" spans="2:8" x14ac:dyDescent="0.45">
      <c r="B84">
        <v>80</v>
      </c>
      <c r="C84">
        <v>5842</v>
      </c>
      <c r="D84" t="s">
        <v>1491</v>
      </c>
      <c r="E84">
        <v>0</v>
      </c>
      <c r="F84">
        <v>3325</v>
      </c>
      <c r="G84">
        <v>3918</v>
      </c>
      <c r="H84">
        <v>7212</v>
      </c>
    </row>
    <row r="85" spans="2:8" x14ac:dyDescent="0.45">
      <c r="B85">
        <v>81</v>
      </c>
      <c r="C85">
        <v>5937</v>
      </c>
      <c r="D85" t="s">
        <v>1492</v>
      </c>
      <c r="E85">
        <v>0</v>
      </c>
      <c r="F85">
        <v>8363</v>
      </c>
      <c r="G85">
        <v>6553</v>
      </c>
      <c r="H85">
        <v>5680</v>
      </c>
    </row>
    <row r="86" spans="2:8" x14ac:dyDescent="0.45">
      <c r="B86">
        <v>83</v>
      </c>
      <c r="C86">
        <v>6329</v>
      </c>
      <c r="D86" t="s">
        <v>1494</v>
      </c>
      <c r="E86">
        <v>0</v>
      </c>
      <c r="F86">
        <v>16168</v>
      </c>
      <c r="G86">
        <v>6339</v>
      </c>
      <c r="H86">
        <v>5193</v>
      </c>
    </row>
    <row r="87" spans="2:8" x14ac:dyDescent="0.45">
      <c r="B87">
        <v>84</v>
      </c>
      <c r="C87">
        <v>6376</v>
      </c>
      <c r="D87" t="s">
        <v>1495</v>
      </c>
      <c r="E87">
        <v>0</v>
      </c>
      <c r="F87">
        <v>7331</v>
      </c>
      <c r="G87">
        <v>1858</v>
      </c>
      <c r="H87">
        <v>7212</v>
      </c>
    </row>
    <row r="88" spans="2:8" x14ac:dyDescent="0.45">
      <c r="B88">
        <v>85</v>
      </c>
      <c r="C88">
        <v>6579</v>
      </c>
      <c r="D88" t="s">
        <v>1496</v>
      </c>
      <c r="E88">
        <v>0</v>
      </c>
      <c r="F88">
        <v>6773</v>
      </c>
      <c r="G88">
        <v>3299</v>
      </c>
      <c r="H88">
        <v>7212</v>
      </c>
    </row>
    <row r="89" spans="2:8" x14ac:dyDescent="0.45">
      <c r="B89">
        <v>86</v>
      </c>
      <c r="C89">
        <v>6787</v>
      </c>
      <c r="D89" t="s">
        <v>1497</v>
      </c>
      <c r="E89">
        <v>0</v>
      </c>
      <c r="F89">
        <v>6507</v>
      </c>
      <c r="G89">
        <v>4265</v>
      </c>
      <c r="H89">
        <v>7212</v>
      </c>
    </row>
    <row r="90" spans="2:8" x14ac:dyDescent="0.45">
      <c r="B90">
        <v>87</v>
      </c>
      <c r="C90">
        <v>6798</v>
      </c>
      <c r="D90" t="s">
        <v>1498</v>
      </c>
      <c r="E90">
        <v>0</v>
      </c>
      <c r="F90">
        <v>11724</v>
      </c>
      <c r="G90">
        <v>6553</v>
      </c>
      <c r="H90">
        <v>5862</v>
      </c>
    </row>
    <row r="91" spans="2:8" x14ac:dyDescent="0.45">
      <c r="B91">
        <v>88</v>
      </c>
      <c r="C91">
        <v>7071</v>
      </c>
      <c r="D91" t="s">
        <v>1499</v>
      </c>
      <c r="E91">
        <v>0</v>
      </c>
      <c r="F91">
        <v>2939</v>
      </c>
      <c r="G91">
        <v>6553</v>
      </c>
      <c r="H91">
        <v>7212</v>
      </c>
    </row>
    <row r="92" spans="2:8" x14ac:dyDescent="0.45">
      <c r="B92">
        <v>89</v>
      </c>
      <c r="C92">
        <v>7150</v>
      </c>
      <c r="D92" t="s">
        <v>1500</v>
      </c>
      <c r="E92">
        <v>0</v>
      </c>
      <c r="F92">
        <v>7772</v>
      </c>
      <c r="G92">
        <v>3955</v>
      </c>
      <c r="H92">
        <v>7212</v>
      </c>
    </row>
    <row r="93" spans="2:8" x14ac:dyDescent="0.45">
      <c r="B93">
        <v>90</v>
      </c>
      <c r="C93">
        <v>7409</v>
      </c>
      <c r="D93" t="s">
        <v>1501</v>
      </c>
      <c r="E93">
        <v>0</v>
      </c>
      <c r="F93">
        <v>9071</v>
      </c>
      <c r="G93">
        <v>3449</v>
      </c>
      <c r="H93">
        <v>7212</v>
      </c>
    </row>
    <row r="94" spans="2:8" x14ac:dyDescent="0.45">
      <c r="B94">
        <v>91</v>
      </c>
      <c r="C94">
        <v>7547</v>
      </c>
      <c r="D94" t="s">
        <v>1502</v>
      </c>
      <c r="E94">
        <v>0</v>
      </c>
      <c r="F94">
        <v>5616</v>
      </c>
      <c r="G94">
        <v>6018</v>
      </c>
      <c r="H94">
        <v>7212</v>
      </c>
    </row>
    <row r="95" spans="2:8" x14ac:dyDescent="0.45">
      <c r="B95">
        <v>92</v>
      </c>
      <c r="C95">
        <v>7965</v>
      </c>
      <c r="D95" t="s">
        <v>1503</v>
      </c>
      <c r="E95">
        <v>0</v>
      </c>
      <c r="F95">
        <v>4236</v>
      </c>
      <c r="G95">
        <v>6553</v>
      </c>
      <c r="H95">
        <v>7212</v>
      </c>
    </row>
    <row r="96" spans="2:8" x14ac:dyDescent="0.45">
      <c r="B96">
        <v>93</v>
      </c>
      <c r="C96">
        <v>8043</v>
      </c>
      <c r="D96" t="s">
        <v>1504</v>
      </c>
      <c r="E96">
        <v>0</v>
      </c>
      <c r="F96">
        <v>4326</v>
      </c>
      <c r="G96">
        <v>6553</v>
      </c>
      <c r="H96">
        <v>7212</v>
      </c>
    </row>
    <row r="97" spans="2:8" x14ac:dyDescent="0.45">
      <c r="B97">
        <v>94</v>
      </c>
      <c r="C97">
        <v>8364</v>
      </c>
      <c r="D97" t="s">
        <v>1505</v>
      </c>
      <c r="E97">
        <v>0</v>
      </c>
      <c r="F97">
        <v>4783</v>
      </c>
      <c r="G97">
        <v>6553</v>
      </c>
      <c r="H97">
        <v>7212</v>
      </c>
    </row>
    <row r="98" spans="2:8" x14ac:dyDescent="0.45">
      <c r="B98">
        <v>95</v>
      </c>
      <c r="C98">
        <v>8423</v>
      </c>
      <c r="D98" t="s">
        <v>1506</v>
      </c>
      <c r="E98">
        <v>0</v>
      </c>
      <c r="F98">
        <v>4870</v>
      </c>
      <c r="G98">
        <v>6553</v>
      </c>
      <c r="H98">
        <v>7212</v>
      </c>
    </row>
    <row r="99" spans="2:8" x14ac:dyDescent="0.45">
      <c r="B99">
        <v>96</v>
      </c>
      <c r="C99">
        <v>8674</v>
      </c>
      <c r="D99" t="s">
        <v>1507</v>
      </c>
      <c r="E99">
        <v>0</v>
      </c>
      <c r="F99">
        <v>8818</v>
      </c>
      <c r="G99">
        <v>5454</v>
      </c>
      <c r="H99">
        <v>7212</v>
      </c>
    </row>
    <row r="100" spans="2:8" x14ac:dyDescent="0.45">
      <c r="B100">
        <v>97</v>
      </c>
      <c r="C100">
        <v>9066</v>
      </c>
      <c r="D100" t="s">
        <v>1508</v>
      </c>
      <c r="E100">
        <v>0</v>
      </c>
      <c r="F100">
        <v>5766</v>
      </c>
      <c r="G100">
        <v>6553</v>
      </c>
      <c r="H100">
        <v>7212</v>
      </c>
    </row>
    <row r="101" spans="2:8" x14ac:dyDescent="0.45">
      <c r="B101">
        <v>98</v>
      </c>
      <c r="C101">
        <v>9201</v>
      </c>
      <c r="D101" t="s">
        <v>1509</v>
      </c>
      <c r="E101">
        <v>0</v>
      </c>
      <c r="F101">
        <v>5967</v>
      </c>
      <c r="G101">
        <v>6553</v>
      </c>
      <c r="H101">
        <v>7212</v>
      </c>
    </row>
    <row r="102" spans="2:8" x14ac:dyDescent="0.45">
      <c r="B102">
        <v>99</v>
      </c>
      <c r="C102">
        <v>9439</v>
      </c>
      <c r="D102" t="s">
        <v>1510</v>
      </c>
      <c r="E102">
        <v>0</v>
      </c>
      <c r="F102">
        <v>6324</v>
      </c>
      <c r="G102">
        <v>6553</v>
      </c>
      <c r="H102">
        <v>7212</v>
      </c>
    </row>
    <row r="103" spans="2:8" x14ac:dyDescent="0.45">
      <c r="B103">
        <v>100</v>
      </c>
      <c r="C103">
        <v>9447</v>
      </c>
      <c r="D103" t="s">
        <v>1511</v>
      </c>
      <c r="E103">
        <v>0</v>
      </c>
      <c r="F103">
        <v>6337</v>
      </c>
      <c r="G103">
        <v>6553</v>
      </c>
      <c r="H103">
        <v>7212</v>
      </c>
    </row>
    <row r="104" spans="2:8" x14ac:dyDescent="0.45">
      <c r="B104">
        <v>101</v>
      </c>
      <c r="C104">
        <v>9768</v>
      </c>
      <c r="D104" t="s">
        <v>1512</v>
      </c>
      <c r="E104">
        <v>0</v>
      </c>
      <c r="F104">
        <v>6756</v>
      </c>
      <c r="G104">
        <v>6553</v>
      </c>
      <c r="H104">
        <v>7212</v>
      </c>
    </row>
    <row r="105" spans="2:8" x14ac:dyDescent="0.45">
      <c r="B105">
        <v>102</v>
      </c>
      <c r="C105">
        <v>9892</v>
      </c>
      <c r="D105" t="s">
        <v>1513</v>
      </c>
      <c r="E105">
        <v>0</v>
      </c>
      <c r="F105">
        <v>6907</v>
      </c>
      <c r="G105">
        <v>6553</v>
      </c>
      <c r="H105">
        <v>7212</v>
      </c>
    </row>
    <row r="106" spans="2:8" x14ac:dyDescent="0.45">
      <c r="B106">
        <v>103</v>
      </c>
      <c r="C106">
        <v>10101</v>
      </c>
      <c r="D106" t="s">
        <v>1514</v>
      </c>
      <c r="E106">
        <v>0</v>
      </c>
      <c r="F106">
        <v>7236</v>
      </c>
      <c r="G106">
        <v>6553</v>
      </c>
      <c r="H106">
        <v>7212</v>
      </c>
    </row>
    <row r="107" spans="2:8" x14ac:dyDescent="0.45">
      <c r="B107">
        <v>104</v>
      </c>
      <c r="C107">
        <v>10112</v>
      </c>
      <c r="D107" t="s">
        <v>1515</v>
      </c>
      <c r="E107">
        <v>0</v>
      </c>
      <c r="F107">
        <v>7244</v>
      </c>
      <c r="G107">
        <v>6553</v>
      </c>
      <c r="H107">
        <v>7212</v>
      </c>
    </row>
    <row r="108" spans="2:8" x14ac:dyDescent="0.45">
      <c r="B108">
        <v>105</v>
      </c>
      <c r="C108">
        <v>10258</v>
      </c>
      <c r="D108" t="s">
        <v>1516</v>
      </c>
      <c r="E108">
        <v>0</v>
      </c>
      <c r="F108">
        <v>7449</v>
      </c>
      <c r="G108">
        <v>6553</v>
      </c>
      <c r="H108">
        <v>7212</v>
      </c>
    </row>
    <row r="109" spans="2:8" x14ac:dyDescent="0.45">
      <c r="B109">
        <v>106</v>
      </c>
      <c r="C109">
        <v>10258</v>
      </c>
      <c r="D109" t="s">
        <v>1517</v>
      </c>
      <c r="E109">
        <v>0</v>
      </c>
      <c r="F109">
        <v>7449</v>
      </c>
      <c r="G109">
        <v>6553</v>
      </c>
      <c r="H109">
        <v>7212</v>
      </c>
    </row>
    <row r="110" spans="2:8" x14ac:dyDescent="0.45">
      <c r="B110">
        <v>107</v>
      </c>
      <c r="C110">
        <v>10510</v>
      </c>
      <c r="D110" t="s">
        <v>1518</v>
      </c>
      <c r="E110">
        <v>0</v>
      </c>
      <c r="F110">
        <v>7802</v>
      </c>
      <c r="G110">
        <v>6553</v>
      </c>
      <c r="H110">
        <v>7212</v>
      </c>
    </row>
    <row r="111" spans="2:8" x14ac:dyDescent="0.45">
      <c r="B111">
        <v>108</v>
      </c>
      <c r="C111">
        <v>10535</v>
      </c>
      <c r="D111" t="s">
        <v>1519</v>
      </c>
      <c r="E111">
        <v>0</v>
      </c>
      <c r="F111">
        <v>7841</v>
      </c>
      <c r="G111">
        <v>6553</v>
      </c>
      <c r="H111">
        <v>7212</v>
      </c>
    </row>
    <row r="112" spans="2:8" x14ac:dyDescent="0.45">
      <c r="B112">
        <v>109</v>
      </c>
      <c r="C112">
        <v>10550</v>
      </c>
      <c r="D112" t="s">
        <v>1520</v>
      </c>
      <c r="E112">
        <v>0</v>
      </c>
      <c r="F112">
        <v>7851</v>
      </c>
      <c r="G112">
        <v>6553</v>
      </c>
      <c r="H112">
        <v>7212</v>
      </c>
    </row>
    <row r="113" spans="2:8" x14ac:dyDescent="0.45">
      <c r="B113">
        <v>110</v>
      </c>
      <c r="C113">
        <v>10661</v>
      </c>
      <c r="D113" t="s">
        <v>1521</v>
      </c>
      <c r="E113">
        <v>0</v>
      </c>
      <c r="F113">
        <v>8014</v>
      </c>
      <c r="G113">
        <v>6553</v>
      </c>
      <c r="H113">
        <v>7212</v>
      </c>
    </row>
    <row r="114" spans="2:8" x14ac:dyDescent="0.45">
      <c r="B114">
        <v>111</v>
      </c>
      <c r="C114">
        <v>10810</v>
      </c>
      <c r="D114" t="s">
        <v>1522</v>
      </c>
      <c r="E114">
        <v>0</v>
      </c>
      <c r="F114">
        <v>8207</v>
      </c>
      <c r="G114">
        <v>6553</v>
      </c>
      <c r="H114">
        <v>7212</v>
      </c>
    </row>
    <row r="115" spans="2:8" x14ac:dyDescent="0.45">
      <c r="B115">
        <v>112</v>
      </c>
      <c r="C115">
        <v>10936</v>
      </c>
      <c r="D115" t="s">
        <v>1523</v>
      </c>
      <c r="E115">
        <v>0</v>
      </c>
      <c r="F115">
        <v>8384</v>
      </c>
      <c r="G115">
        <v>6553</v>
      </c>
      <c r="H115">
        <v>7212</v>
      </c>
    </row>
    <row r="116" spans="2:8" x14ac:dyDescent="0.45">
      <c r="B116">
        <v>113</v>
      </c>
      <c r="C116">
        <v>11146</v>
      </c>
      <c r="D116" t="s">
        <v>1524</v>
      </c>
      <c r="E116">
        <v>0</v>
      </c>
      <c r="F116">
        <v>8677</v>
      </c>
      <c r="G116">
        <v>6553</v>
      </c>
      <c r="H116">
        <v>7212</v>
      </c>
    </row>
    <row r="117" spans="2:8" x14ac:dyDescent="0.45">
      <c r="B117">
        <v>114</v>
      </c>
      <c r="C117">
        <v>11419</v>
      </c>
      <c r="D117" t="s">
        <v>1525</v>
      </c>
      <c r="E117">
        <v>0</v>
      </c>
      <c r="F117">
        <v>9033</v>
      </c>
      <c r="G117">
        <v>6553</v>
      </c>
      <c r="H117">
        <v>7212</v>
      </c>
    </row>
    <row r="118" spans="2:8" x14ac:dyDescent="0.45">
      <c r="B118">
        <v>115</v>
      </c>
      <c r="C118">
        <v>11463</v>
      </c>
      <c r="D118" t="s">
        <v>1526</v>
      </c>
      <c r="E118">
        <v>0</v>
      </c>
      <c r="F118">
        <v>9090</v>
      </c>
      <c r="G118">
        <v>6553</v>
      </c>
      <c r="H118">
        <v>7212</v>
      </c>
    </row>
    <row r="119" spans="2:8" x14ac:dyDescent="0.45">
      <c r="B119">
        <v>116</v>
      </c>
      <c r="C119">
        <v>11795</v>
      </c>
      <c r="D119" t="s">
        <v>1527</v>
      </c>
      <c r="E119">
        <v>0</v>
      </c>
      <c r="F119">
        <v>9497</v>
      </c>
      <c r="G119">
        <v>6553</v>
      </c>
      <c r="H119">
        <v>7212</v>
      </c>
    </row>
    <row r="120" spans="2:8" x14ac:dyDescent="0.45">
      <c r="B120">
        <v>117</v>
      </c>
      <c r="C120">
        <v>11896</v>
      </c>
      <c r="D120" t="s">
        <v>1528</v>
      </c>
      <c r="E120">
        <v>0</v>
      </c>
      <c r="F120">
        <v>9646</v>
      </c>
      <c r="G120">
        <v>6553</v>
      </c>
      <c r="H120">
        <v>7212</v>
      </c>
    </row>
    <row r="121" spans="2:8" x14ac:dyDescent="0.45">
      <c r="B121">
        <v>118</v>
      </c>
      <c r="C121">
        <v>11932</v>
      </c>
      <c r="D121" t="s">
        <v>1529</v>
      </c>
      <c r="E121">
        <v>0</v>
      </c>
      <c r="F121">
        <v>9709</v>
      </c>
      <c r="G121">
        <v>6553</v>
      </c>
      <c r="H121">
        <v>7212</v>
      </c>
    </row>
    <row r="122" spans="2:8" x14ac:dyDescent="0.45">
      <c r="B122">
        <v>119</v>
      </c>
      <c r="C122">
        <v>11981</v>
      </c>
      <c r="D122" t="s">
        <v>1530</v>
      </c>
      <c r="E122">
        <v>0</v>
      </c>
      <c r="F122">
        <v>9775</v>
      </c>
      <c r="G122">
        <v>6553</v>
      </c>
      <c r="H122">
        <v>7212</v>
      </c>
    </row>
    <row r="123" spans="2:8" x14ac:dyDescent="0.45">
      <c r="B123">
        <v>120</v>
      </c>
      <c r="C123">
        <v>12208</v>
      </c>
      <c r="D123" t="s">
        <v>1531</v>
      </c>
      <c r="E123">
        <v>0</v>
      </c>
      <c r="F123">
        <v>10067</v>
      </c>
      <c r="G123">
        <v>6553</v>
      </c>
      <c r="H123">
        <v>7212</v>
      </c>
    </row>
    <row r="124" spans="2:8" x14ac:dyDescent="0.45">
      <c r="B124">
        <v>121</v>
      </c>
      <c r="C124">
        <v>12510</v>
      </c>
      <c r="D124" t="s">
        <v>1532</v>
      </c>
      <c r="E124">
        <v>0</v>
      </c>
      <c r="F124">
        <v>10450</v>
      </c>
      <c r="G124">
        <v>6553</v>
      </c>
      <c r="H124">
        <v>7212</v>
      </c>
    </row>
    <row r="125" spans="2:8" x14ac:dyDescent="0.45">
      <c r="B125">
        <v>122</v>
      </c>
      <c r="C125">
        <v>12592</v>
      </c>
      <c r="D125" t="s">
        <v>1533</v>
      </c>
      <c r="E125">
        <v>0</v>
      </c>
      <c r="F125">
        <v>10572</v>
      </c>
      <c r="G125">
        <v>6553</v>
      </c>
      <c r="H125">
        <v>7212</v>
      </c>
    </row>
    <row r="126" spans="2:8" x14ac:dyDescent="0.45">
      <c r="B126">
        <v>123</v>
      </c>
      <c r="C126">
        <v>12645</v>
      </c>
      <c r="D126" t="s">
        <v>1534</v>
      </c>
      <c r="E126">
        <v>0</v>
      </c>
      <c r="F126">
        <v>10632</v>
      </c>
      <c r="G126">
        <v>6553</v>
      </c>
      <c r="H126">
        <v>7212</v>
      </c>
    </row>
    <row r="127" spans="2:8" x14ac:dyDescent="0.45">
      <c r="B127">
        <v>124</v>
      </c>
      <c r="C127">
        <v>12804</v>
      </c>
      <c r="D127" t="s">
        <v>1535</v>
      </c>
      <c r="E127">
        <v>0</v>
      </c>
      <c r="F127">
        <v>10848</v>
      </c>
      <c r="G127">
        <v>6553</v>
      </c>
      <c r="H127">
        <v>7212</v>
      </c>
    </row>
    <row r="128" spans="2:8" x14ac:dyDescent="0.45">
      <c r="B128">
        <v>125</v>
      </c>
      <c r="C128">
        <v>12816</v>
      </c>
      <c r="D128" t="s">
        <v>1536</v>
      </c>
      <c r="E128">
        <v>0</v>
      </c>
      <c r="F128">
        <v>10861</v>
      </c>
      <c r="G128">
        <v>6553</v>
      </c>
      <c r="H128">
        <v>7212</v>
      </c>
    </row>
    <row r="129" spans="2:8" x14ac:dyDescent="0.45">
      <c r="B129">
        <v>126</v>
      </c>
      <c r="C129">
        <v>12835</v>
      </c>
      <c r="D129" t="s">
        <v>1537</v>
      </c>
      <c r="E129">
        <v>0</v>
      </c>
      <c r="F129">
        <v>10895</v>
      </c>
      <c r="G129">
        <v>6553</v>
      </c>
      <c r="H129">
        <v>7212</v>
      </c>
    </row>
    <row r="130" spans="2:8" x14ac:dyDescent="0.45">
      <c r="B130">
        <v>127</v>
      </c>
      <c r="C130">
        <v>12896</v>
      </c>
      <c r="D130" t="s">
        <v>1538</v>
      </c>
      <c r="E130">
        <v>0</v>
      </c>
      <c r="F130">
        <v>10971</v>
      </c>
      <c r="G130">
        <v>6553</v>
      </c>
      <c r="H130">
        <v>7212</v>
      </c>
    </row>
    <row r="131" spans="2:8" x14ac:dyDescent="0.45">
      <c r="B131">
        <v>128</v>
      </c>
      <c r="C131">
        <v>12896</v>
      </c>
      <c r="D131" t="s">
        <v>1539</v>
      </c>
      <c r="E131">
        <v>0</v>
      </c>
      <c r="F131">
        <v>10960</v>
      </c>
      <c r="G131">
        <v>6553</v>
      </c>
      <c r="H131">
        <v>7212</v>
      </c>
    </row>
    <row r="132" spans="2:8" x14ac:dyDescent="0.45">
      <c r="B132">
        <v>129</v>
      </c>
      <c r="C132">
        <v>12940</v>
      </c>
      <c r="D132" t="s">
        <v>1540</v>
      </c>
      <c r="E132">
        <v>0</v>
      </c>
      <c r="F132">
        <v>11016</v>
      </c>
      <c r="G132">
        <v>6553</v>
      </c>
      <c r="H132">
        <v>7212</v>
      </c>
    </row>
    <row r="133" spans="2:8" x14ac:dyDescent="0.45">
      <c r="B133">
        <v>130</v>
      </c>
      <c r="C133">
        <v>12989</v>
      </c>
      <c r="D133" t="s">
        <v>1541</v>
      </c>
      <c r="E133">
        <v>0</v>
      </c>
      <c r="F133">
        <v>11071</v>
      </c>
      <c r="G133">
        <v>6553</v>
      </c>
      <c r="H133">
        <v>7212</v>
      </c>
    </row>
    <row r="134" spans="2:8" x14ac:dyDescent="0.45">
      <c r="B134">
        <v>131</v>
      </c>
      <c r="C134">
        <v>13003</v>
      </c>
      <c r="D134" t="s">
        <v>1542</v>
      </c>
      <c r="E134">
        <v>0</v>
      </c>
      <c r="F134">
        <v>11093</v>
      </c>
      <c r="G134">
        <v>6553</v>
      </c>
      <c r="H134">
        <v>7212</v>
      </c>
    </row>
    <row r="135" spans="2:8" x14ac:dyDescent="0.45">
      <c r="B135">
        <v>132</v>
      </c>
      <c r="C135">
        <v>13174</v>
      </c>
      <c r="D135" t="s">
        <v>1543</v>
      </c>
      <c r="E135">
        <v>0</v>
      </c>
      <c r="F135">
        <v>11308</v>
      </c>
      <c r="G135">
        <v>6553</v>
      </c>
      <c r="H135">
        <v>7212</v>
      </c>
    </row>
    <row r="136" spans="2:8" x14ac:dyDescent="0.45">
      <c r="B136">
        <v>133</v>
      </c>
      <c r="C136">
        <v>13213</v>
      </c>
      <c r="D136" t="s">
        <v>1544</v>
      </c>
      <c r="E136">
        <v>0</v>
      </c>
      <c r="F136">
        <v>11339</v>
      </c>
      <c r="G136">
        <v>6553</v>
      </c>
      <c r="H136">
        <v>7212</v>
      </c>
    </row>
    <row r="137" spans="2:8" x14ac:dyDescent="0.45">
      <c r="B137">
        <v>134</v>
      </c>
      <c r="C137">
        <v>13245</v>
      </c>
      <c r="D137" t="s">
        <v>1545</v>
      </c>
      <c r="E137">
        <v>0</v>
      </c>
      <c r="F137">
        <v>11387</v>
      </c>
      <c r="G137">
        <v>6553</v>
      </c>
      <c r="H137">
        <v>7212</v>
      </c>
    </row>
    <row r="138" spans="2:8" x14ac:dyDescent="0.45">
      <c r="B138">
        <v>135</v>
      </c>
      <c r="C138">
        <v>13278</v>
      </c>
      <c r="D138" t="s">
        <v>1546</v>
      </c>
      <c r="E138">
        <v>0</v>
      </c>
      <c r="F138">
        <v>11427</v>
      </c>
      <c r="G138">
        <v>6553</v>
      </c>
      <c r="H138">
        <v>7212</v>
      </c>
    </row>
    <row r="139" spans="2:8" x14ac:dyDescent="0.45">
      <c r="B139">
        <v>136</v>
      </c>
      <c r="C139">
        <v>13376</v>
      </c>
      <c r="D139" t="s">
        <v>1547</v>
      </c>
      <c r="E139">
        <v>0</v>
      </c>
      <c r="F139">
        <v>11562</v>
      </c>
      <c r="G139">
        <v>6553</v>
      </c>
      <c r="H139">
        <v>7212</v>
      </c>
    </row>
    <row r="140" spans="2:8" x14ac:dyDescent="0.45">
      <c r="B140">
        <v>137</v>
      </c>
      <c r="C140">
        <v>13451</v>
      </c>
      <c r="D140" t="s">
        <v>1548</v>
      </c>
      <c r="E140">
        <v>0</v>
      </c>
      <c r="F140">
        <v>11657</v>
      </c>
      <c r="G140">
        <v>6553</v>
      </c>
      <c r="H140">
        <v>7212</v>
      </c>
    </row>
    <row r="141" spans="2:8" x14ac:dyDescent="0.45">
      <c r="B141">
        <v>138</v>
      </c>
      <c r="C141">
        <v>13630</v>
      </c>
      <c r="D141" t="s">
        <v>1549</v>
      </c>
      <c r="E141">
        <v>0</v>
      </c>
      <c r="F141">
        <v>12930</v>
      </c>
      <c r="G141">
        <v>6457</v>
      </c>
      <c r="H141">
        <v>7212</v>
      </c>
    </row>
    <row r="142" spans="2:8" x14ac:dyDescent="0.45">
      <c r="B142">
        <v>139</v>
      </c>
      <c r="C142">
        <v>13803</v>
      </c>
      <c r="D142" t="s">
        <v>1550</v>
      </c>
      <c r="E142">
        <v>0</v>
      </c>
      <c r="F142">
        <v>12096</v>
      </c>
      <c r="G142">
        <v>6553</v>
      </c>
      <c r="H142">
        <v>7212</v>
      </c>
    </row>
    <row r="143" spans="2:8" x14ac:dyDescent="0.45">
      <c r="B143">
        <v>140</v>
      </c>
      <c r="C143">
        <v>13898</v>
      </c>
      <c r="D143" t="s">
        <v>1551</v>
      </c>
      <c r="E143">
        <v>0</v>
      </c>
      <c r="F143">
        <v>12216</v>
      </c>
      <c r="G143">
        <v>6553</v>
      </c>
      <c r="H143">
        <v>7212</v>
      </c>
    </row>
    <row r="144" spans="2:8" x14ac:dyDescent="0.45">
      <c r="B144">
        <v>141</v>
      </c>
      <c r="C144">
        <v>13922</v>
      </c>
      <c r="D144" t="s">
        <v>1552</v>
      </c>
      <c r="E144">
        <v>0</v>
      </c>
      <c r="F144">
        <v>12243</v>
      </c>
      <c r="G144">
        <v>6553</v>
      </c>
      <c r="H144">
        <v>7212</v>
      </c>
    </row>
    <row r="145" spans="2:8" x14ac:dyDescent="0.45">
      <c r="B145">
        <v>142</v>
      </c>
      <c r="C145">
        <v>13950</v>
      </c>
      <c r="D145" t="s">
        <v>1553</v>
      </c>
      <c r="E145">
        <v>0</v>
      </c>
      <c r="F145">
        <v>12283</v>
      </c>
      <c r="G145">
        <v>6553</v>
      </c>
      <c r="H145">
        <v>7212</v>
      </c>
    </row>
    <row r="146" spans="2:8" x14ac:dyDescent="0.45">
      <c r="B146">
        <v>143</v>
      </c>
      <c r="C146">
        <v>13950</v>
      </c>
      <c r="D146" t="s">
        <v>1554</v>
      </c>
      <c r="E146">
        <v>0</v>
      </c>
      <c r="F146">
        <v>12283</v>
      </c>
      <c r="G146">
        <v>6553</v>
      </c>
      <c r="H146">
        <v>7212</v>
      </c>
    </row>
    <row r="147" spans="2:8" x14ac:dyDescent="0.45">
      <c r="B147">
        <v>144</v>
      </c>
      <c r="C147">
        <v>14006</v>
      </c>
      <c r="D147" t="s">
        <v>1555</v>
      </c>
      <c r="E147">
        <v>0</v>
      </c>
      <c r="F147">
        <v>12349</v>
      </c>
      <c r="G147">
        <v>6553</v>
      </c>
      <c r="H147">
        <v>7212</v>
      </c>
    </row>
    <row r="148" spans="2:8" x14ac:dyDescent="0.45">
      <c r="B148">
        <v>145</v>
      </c>
      <c r="C148">
        <v>14115</v>
      </c>
      <c r="D148" t="s">
        <v>1556</v>
      </c>
      <c r="E148">
        <v>0</v>
      </c>
      <c r="F148">
        <v>12472</v>
      </c>
      <c r="G148">
        <v>6553</v>
      </c>
      <c r="H148">
        <v>7212</v>
      </c>
    </row>
    <row r="149" spans="2:8" x14ac:dyDescent="0.45">
      <c r="B149">
        <v>146</v>
      </c>
      <c r="C149">
        <v>14133</v>
      </c>
      <c r="D149" t="s">
        <v>1557</v>
      </c>
      <c r="E149">
        <v>0</v>
      </c>
      <c r="F149">
        <v>12495</v>
      </c>
      <c r="G149">
        <v>6553</v>
      </c>
      <c r="H149">
        <v>7212</v>
      </c>
    </row>
    <row r="150" spans="2:8" x14ac:dyDescent="0.45">
      <c r="B150">
        <v>147</v>
      </c>
      <c r="C150">
        <v>14146</v>
      </c>
      <c r="D150" t="s">
        <v>1558</v>
      </c>
      <c r="E150">
        <v>0</v>
      </c>
      <c r="F150">
        <v>12520</v>
      </c>
      <c r="G150">
        <v>6553</v>
      </c>
      <c r="H150">
        <v>7212</v>
      </c>
    </row>
    <row r="151" spans="2:8" x14ac:dyDescent="0.45">
      <c r="B151">
        <v>148</v>
      </c>
      <c r="C151">
        <v>14257</v>
      </c>
      <c r="D151" t="s">
        <v>1559</v>
      </c>
      <c r="E151">
        <v>0</v>
      </c>
      <c r="F151">
        <v>12680</v>
      </c>
      <c r="G151">
        <v>6553</v>
      </c>
      <c r="H151">
        <v>7212</v>
      </c>
    </row>
    <row r="152" spans="2:8" x14ac:dyDescent="0.45">
      <c r="B152">
        <v>149</v>
      </c>
      <c r="C152">
        <v>14257</v>
      </c>
      <c r="D152" t="s">
        <v>1560</v>
      </c>
      <c r="E152">
        <v>0</v>
      </c>
      <c r="F152">
        <v>12680</v>
      </c>
      <c r="G152">
        <v>6553</v>
      </c>
      <c r="H152">
        <v>7212</v>
      </c>
    </row>
    <row r="153" spans="2:8" x14ac:dyDescent="0.45">
      <c r="B153">
        <v>150</v>
      </c>
      <c r="C153">
        <v>14292</v>
      </c>
      <c r="D153" t="s">
        <v>1561</v>
      </c>
      <c r="E153">
        <v>0</v>
      </c>
      <c r="F153">
        <v>12713</v>
      </c>
      <c r="G153">
        <v>6553</v>
      </c>
      <c r="H153">
        <v>7212</v>
      </c>
    </row>
    <row r="154" spans="2:8" x14ac:dyDescent="0.45">
      <c r="B154">
        <v>151</v>
      </c>
      <c r="C154">
        <v>14411</v>
      </c>
      <c r="D154" t="s">
        <v>1562</v>
      </c>
      <c r="E154">
        <v>0</v>
      </c>
      <c r="F154">
        <v>12866</v>
      </c>
      <c r="G154">
        <v>6553</v>
      </c>
      <c r="H154">
        <v>7212</v>
      </c>
    </row>
    <row r="155" spans="2:8" x14ac:dyDescent="0.45">
      <c r="B155">
        <v>152</v>
      </c>
      <c r="C155">
        <v>14479</v>
      </c>
      <c r="D155" t="s">
        <v>1563</v>
      </c>
      <c r="E155">
        <v>0</v>
      </c>
      <c r="F155">
        <v>12943</v>
      </c>
      <c r="G155">
        <v>6553</v>
      </c>
      <c r="H155">
        <v>7212</v>
      </c>
    </row>
    <row r="156" spans="2:8" x14ac:dyDescent="0.45">
      <c r="B156">
        <v>153</v>
      </c>
      <c r="C156">
        <v>14525</v>
      </c>
      <c r="D156" t="s">
        <v>1564</v>
      </c>
      <c r="E156">
        <v>0</v>
      </c>
      <c r="F156">
        <v>15782</v>
      </c>
      <c r="G156">
        <v>6159</v>
      </c>
      <c r="H156">
        <v>7212</v>
      </c>
    </row>
    <row r="157" spans="2:8" x14ac:dyDescent="0.45">
      <c r="B157">
        <v>154</v>
      </c>
      <c r="C157">
        <v>14697</v>
      </c>
      <c r="D157" t="s">
        <v>1565</v>
      </c>
      <c r="E157">
        <v>0</v>
      </c>
      <c r="F157">
        <v>13214</v>
      </c>
      <c r="G157">
        <v>6553</v>
      </c>
      <c r="H157">
        <v>7212</v>
      </c>
    </row>
    <row r="158" spans="2:8" x14ac:dyDescent="0.45">
      <c r="B158">
        <v>155</v>
      </c>
      <c r="C158">
        <v>14713</v>
      </c>
      <c r="D158" t="s">
        <v>1566</v>
      </c>
      <c r="E158">
        <v>0</v>
      </c>
      <c r="F158">
        <v>13235</v>
      </c>
      <c r="G158">
        <v>6553</v>
      </c>
      <c r="H158">
        <v>7212</v>
      </c>
    </row>
    <row r="159" spans="2:8" x14ac:dyDescent="0.45">
      <c r="B159">
        <v>156</v>
      </c>
      <c r="C159">
        <v>14713</v>
      </c>
      <c r="D159" t="s">
        <v>1567</v>
      </c>
      <c r="E159">
        <v>0</v>
      </c>
      <c r="F159">
        <v>13235</v>
      </c>
      <c r="G159">
        <v>6553</v>
      </c>
      <c r="H159">
        <v>7212</v>
      </c>
    </row>
    <row r="160" spans="2:8" x14ac:dyDescent="0.45">
      <c r="B160">
        <v>157</v>
      </c>
      <c r="C160">
        <v>14741</v>
      </c>
      <c r="D160" t="s">
        <v>1568</v>
      </c>
      <c r="E160">
        <v>0</v>
      </c>
      <c r="F160">
        <v>13267</v>
      </c>
      <c r="G160">
        <v>6553</v>
      </c>
      <c r="H160">
        <v>7212</v>
      </c>
    </row>
    <row r="161" spans="2:8" x14ac:dyDescent="0.45">
      <c r="B161">
        <v>158</v>
      </c>
      <c r="C161">
        <v>14908</v>
      </c>
      <c r="D161" t="s">
        <v>1569</v>
      </c>
      <c r="E161">
        <v>0</v>
      </c>
      <c r="F161">
        <v>13485</v>
      </c>
      <c r="G161">
        <v>6553</v>
      </c>
      <c r="H161">
        <v>7212</v>
      </c>
    </row>
    <row r="162" spans="2:8" x14ac:dyDescent="0.45">
      <c r="B162">
        <v>159</v>
      </c>
      <c r="C162">
        <v>14971</v>
      </c>
      <c r="D162" t="s">
        <v>1570</v>
      </c>
      <c r="E162">
        <v>0</v>
      </c>
      <c r="F162">
        <v>13553</v>
      </c>
      <c r="G162">
        <v>6553</v>
      </c>
      <c r="H162">
        <v>7212</v>
      </c>
    </row>
    <row r="163" spans="2:8" x14ac:dyDescent="0.45">
      <c r="B163">
        <v>160</v>
      </c>
      <c r="C163">
        <v>15066</v>
      </c>
      <c r="D163" t="s">
        <v>1571</v>
      </c>
      <c r="E163">
        <v>0</v>
      </c>
      <c r="F163">
        <v>13663</v>
      </c>
      <c r="G163">
        <v>6553</v>
      </c>
      <c r="H163">
        <v>7212</v>
      </c>
    </row>
    <row r="164" spans="2:8" x14ac:dyDescent="0.45">
      <c r="B164">
        <v>161</v>
      </c>
      <c r="C164">
        <v>15191</v>
      </c>
      <c r="D164" t="s">
        <v>1572</v>
      </c>
      <c r="E164">
        <v>0</v>
      </c>
      <c r="F164">
        <v>13815</v>
      </c>
      <c r="G164">
        <v>6553</v>
      </c>
      <c r="H164">
        <v>7212</v>
      </c>
    </row>
    <row r="165" spans="2:8" x14ac:dyDescent="0.45">
      <c r="B165">
        <v>162</v>
      </c>
      <c r="C165">
        <v>15191</v>
      </c>
      <c r="D165" t="s">
        <v>1573</v>
      </c>
      <c r="E165">
        <v>0</v>
      </c>
      <c r="F165">
        <v>13815</v>
      </c>
      <c r="G165">
        <v>6553</v>
      </c>
      <c r="H165">
        <v>7212</v>
      </c>
    </row>
    <row r="166" spans="2:8" x14ac:dyDescent="0.45">
      <c r="B166">
        <v>163</v>
      </c>
      <c r="C166">
        <v>15228</v>
      </c>
      <c r="D166" t="s">
        <v>1574</v>
      </c>
      <c r="E166">
        <v>0</v>
      </c>
      <c r="F166">
        <v>13865</v>
      </c>
      <c r="G166">
        <v>6553</v>
      </c>
      <c r="H166">
        <v>7212</v>
      </c>
    </row>
    <row r="167" spans="2:8" x14ac:dyDescent="0.45">
      <c r="B167">
        <v>164</v>
      </c>
      <c r="C167">
        <v>15272</v>
      </c>
      <c r="D167" t="s">
        <v>1575</v>
      </c>
      <c r="E167">
        <v>0</v>
      </c>
      <c r="F167">
        <v>13908</v>
      </c>
      <c r="G167">
        <v>6553</v>
      </c>
      <c r="H167">
        <v>7212</v>
      </c>
    </row>
    <row r="168" spans="2:8" x14ac:dyDescent="0.45">
      <c r="B168">
        <v>165</v>
      </c>
      <c r="C168">
        <v>15288</v>
      </c>
      <c r="D168" t="s">
        <v>1576</v>
      </c>
      <c r="E168">
        <v>0</v>
      </c>
      <c r="F168">
        <v>13926</v>
      </c>
      <c r="G168">
        <v>6553</v>
      </c>
      <c r="H168">
        <v>7212</v>
      </c>
    </row>
    <row r="169" spans="2:8" x14ac:dyDescent="0.45">
      <c r="B169">
        <v>166</v>
      </c>
      <c r="C169">
        <v>15323</v>
      </c>
      <c r="D169" t="s">
        <v>1577</v>
      </c>
      <c r="E169">
        <v>0</v>
      </c>
      <c r="F169">
        <v>13970</v>
      </c>
      <c r="G169">
        <v>6553</v>
      </c>
      <c r="H169">
        <v>7212</v>
      </c>
    </row>
    <row r="170" spans="2:8" x14ac:dyDescent="0.45">
      <c r="B170">
        <v>167</v>
      </c>
      <c r="C170">
        <v>15323</v>
      </c>
      <c r="D170" t="s">
        <v>1578</v>
      </c>
      <c r="E170">
        <v>0</v>
      </c>
      <c r="F170">
        <v>13970</v>
      </c>
      <c r="G170">
        <v>6553</v>
      </c>
      <c r="H170">
        <v>7212</v>
      </c>
    </row>
    <row r="171" spans="2:8" x14ac:dyDescent="0.45">
      <c r="B171">
        <v>168</v>
      </c>
      <c r="C171">
        <v>15352</v>
      </c>
      <c r="D171" t="s">
        <v>1579</v>
      </c>
      <c r="E171">
        <v>0</v>
      </c>
      <c r="F171">
        <v>14001</v>
      </c>
      <c r="G171">
        <v>6553</v>
      </c>
      <c r="H171">
        <v>7212</v>
      </c>
    </row>
    <row r="172" spans="2:8" x14ac:dyDescent="0.45">
      <c r="B172">
        <v>169</v>
      </c>
      <c r="C172">
        <v>15528</v>
      </c>
      <c r="D172" t="s">
        <v>1580</v>
      </c>
      <c r="E172">
        <v>0</v>
      </c>
      <c r="F172">
        <v>14195</v>
      </c>
      <c r="G172">
        <v>6553</v>
      </c>
      <c r="H172">
        <v>7212</v>
      </c>
    </row>
    <row r="173" spans="2:8" x14ac:dyDescent="0.45">
      <c r="B173">
        <v>170</v>
      </c>
      <c r="C173">
        <v>15618</v>
      </c>
      <c r="D173" t="s">
        <v>1581</v>
      </c>
      <c r="E173">
        <v>0</v>
      </c>
      <c r="F173">
        <v>14302</v>
      </c>
      <c r="G173">
        <v>6553</v>
      </c>
      <c r="H173">
        <v>7212</v>
      </c>
    </row>
    <row r="174" spans="2:8" x14ac:dyDescent="0.45">
      <c r="B174">
        <v>171</v>
      </c>
      <c r="C174">
        <v>15813</v>
      </c>
      <c r="D174" t="s">
        <v>1582</v>
      </c>
      <c r="E174">
        <v>0</v>
      </c>
      <c r="F174">
        <v>14523</v>
      </c>
      <c r="G174">
        <v>6553</v>
      </c>
      <c r="H174">
        <v>7212</v>
      </c>
    </row>
    <row r="175" spans="2:8" x14ac:dyDescent="0.45">
      <c r="B175">
        <v>172</v>
      </c>
      <c r="C175">
        <v>15897</v>
      </c>
      <c r="D175" t="s">
        <v>1583</v>
      </c>
      <c r="E175">
        <v>0</v>
      </c>
      <c r="F175">
        <v>14625</v>
      </c>
      <c r="G175">
        <v>6553</v>
      </c>
      <c r="H175">
        <v>7212</v>
      </c>
    </row>
    <row r="176" spans="2:8" x14ac:dyDescent="0.45">
      <c r="B176">
        <v>173</v>
      </c>
      <c r="C176">
        <v>15897</v>
      </c>
      <c r="D176" t="s">
        <v>1584</v>
      </c>
      <c r="E176">
        <v>0</v>
      </c>
      <c r="F176">
        <v>14625</v>
      </c>
      <c r="G176">
        <v>6553</v>
      </c>
      <c r="H176">
        <v>7212</v>
      </c>
    </row>
    <row r="177" spans="2:8" x14ac:dyDescent="0.45">
      <c r="B177">
        <v>174</v>
      </c>
      <c r="C177">
        <v>15948</v>
      </c>
      <c r="D177" t="s">
        <v>1585</v>
      </c>
      <c r="E177">
        <v>0</v>
      </c>
      <c r="F177">
        <v>14710</v>
      </c>
      <c r="G177">
        <v>6553</v>
      </c>
      <c r="H177">
        <v>7212</v>
      </c>
    </row>
    <row r="178" spans="2:8" x14ac:dyDescent="0.45">
      <c r="B178">
        <v>175</v>
      </c>
      <c r="C178">
        <v>15948</v>
      </c>
      <c r="D178" t="s">
        <v>1586</v>
      </c>
      <c r="E178">
        <v>0</v>
      </c>
      <c r="F178">
        <v>14688</v>
      </c>
      <c r="G178">
        <v>6553</v>
      </c>
      <c r="H178">
        <v>7212</v>
      </c>
    </row>
    <row r="179" spans="2:8" x14ac:dyDescent="0.45">
      <c r="B179">
        <v>176</v>
      </c>
      <c r="C179">
        <v>16081</v>
      </c>
      <c r="D179" t="s">
        <v>1587</v>
      </c>
      <c r="E179">
        <v>0</v>
      </c>
      <c r="F179">
        <v>14854</v>
      </c>
      <c r="G179">
        <v>6553</v>
      </c>
      <c r="H179">
        <v>7212</v>
      </c>
    </row>
    <row r="180" spans="2:8" x14ac:dyDescent="0.45">
      <c r="B180">
        <v>177</v>
      </c>
      <c r="C180">
        <v>16175</v>
      </c>
      <c r="D180" t="s">
        <v>1588</v>
      </c>
      <c r="E180">
        <v>0</v>
      </c>
      <c r="F180">
        <v>14964</v>
      </c>
      <c r="G180">
        <v>6553</v>
      </c>
      <c r="H180">
        <v>7212</v>
      </c>
    </row>
    <row r="181" spans="2:8" x14ac:dyDescent="0.45">
      <c r="B181">
        <v>178</v>
      </c>
      <c r="C181">
        <v>16226</v>
      </c>
      <c r="D181" t="s">
        <v>1589</v>
      </c>
      <c r="E181">
        <v>0</v>
      </c>
      <c r="F181">
        <v>15031</v>
      </c>
      <c r="G181">
        <v>6553</v>
      </c>
      <c r="H181">
        <v>7212</v>
      </c>
    </row>
    <row r="182" spans="2:8" x14ac:dyDescent="0.45">
      <c r="B182">
        <v>179</v>
      </c>
      <c r="C182">
        <v>16226</v>
      </c>
      <c r="D182" t="s">
        <v>1590</v>
      </c>
      <c r="E182">
        <v>0</v>
      </c>
      <c r="F182">
        <v>15031</v>
      </c>
      <c r="G182">
        <v>6553</v>
      </c>
      <c r="H182">
        <v>7212</v>
      </c>
    </row>
    <row r="183" spans="2:8" x14ac:dyDescent="0.45">
      <c r="B183">
        <v>180</v>
      </c>
      <c r="C183">
        <v>16249</v>
      </c>
      <c r="D183" t="s">
        <v>1591</v>
      </c>
      <c r="E183">
        <v>0</v>
      </c>
      <c r="F183">
        <v>15059</v>
      </c>
      <c r="G183">
        <v>6553</v>
      </c>
      <c r="H183">
        <v>7212</v>
      </c>
    </row>
    <row r="184" spans="2:8" x14ac:dyDescent="0.45">
      <c r="B184">
        <v>181</v>
      </c>
      <c r="C184">
        <v>16267</v>
      </c>
      <c r="D184" t="s">
        <v>1592</v>
      </c>
      <c r="E184">
        <v>0</v>
      </c>
      <c r="F184">
        <v>15080</v>
      </c>
      <c r="G184">
        <v>6553</v>
      </c>
      <c r="H184">
        <v>7212</v>
      </c>
    </row>
    <row r="185" spans="2:8" x14ac:dyDescent="0.45">
      <c r="B185">
        <v>182</v>
      </c>
      <c r="C185">
        <v>16305</v>
      </c>
      <c r="D185" t="s">
        <v>1593</v>
      </c>
      <c r="E185">
        <v>0</v>
      </c>
      <c r="F185">
        <v>15127</v>
      </c>
      <c r="G185">
        <v>6553</v>
      </c>
      <c r="H185">
        <v>7212</v>
      </c>
    </row>
    <row r="186" spans="2:8" x14ac:dyDescent="0.45">
      <c r="B186">
        <v>183</v>
      </c>
      <c r="C186">
        <v>16393</v>
      </c>
      <c r="D186" t="s">
        <v>1594</v>
      </c>
      <c r="E186">
        <v>0</v>
      </c>
      <c r="F186">
        <v>15225</v>
      </c>
      <c r="G186">
        <v>6553</v>
      </c>
      <c r="H186">
        <v>7212</v>
      </c>
    </row>
    <row r="187" spans="2:8" x14ac:dyDescent="0.45">
      <c r="B187">
        <v>184</v>
      </c>
      <c r="C187">
        <v>16425</v>
      </c>
      <c r="D187" t="s">
        <v>1595</v>
      </c>
      <c r="E187">
        <v>0</v>
      </c>
      <c r="F187">
        <v>15258</v>
      </c>
      <c r="G187">
        <v>6553</v>
      </c>
      <c r="H187">
        <v>7212</v>
      </c>
    </row>
    <row r="188" spans="2:8" x14ac:dyDescent="0.45">
      <c r="B188">
        <v>185</v>
      </c>
      <c r="C188">
        <v>16486</v>
      </c>
      <c r="D188" t="s">
        <v>1596</v>
      </c>
      <c r="E188">
        <v>0</v>
      </c>
      <c r="F188">
        <v>15324</v>
      </c>
      <c r="G188">
        <v>6553</v>
      </c>
      <c r="H188">
        <v>7212</v>
      </c>
    </row>
    <row r="189" spans="2:8" x14ac:dyDescent="0.45">
      <c r="B189">
        <v>186</v>
      </c>
      <c r="C189">
        <v>16526</v>
      </c>
      <c r="D189" t="s">
        <v>1597</v>
      </c>
      <c r="E189">
        <v>0</v>
      </c>
      <c r="F189">
        <v>15378</v>
      </c>
      <c r="G189">
        <v>6553</v>
      </c>
      <c r="H189">
        <v>7212</v>
      </c>
    </row>
    <row r="190" spans="2:8" x14ac:dyDescent="0.45">
      <c r="B190">
        <v>187</v>
      </c>
      <c r="C190">
        <v>16565</v>
      </c>
      <c r="D190" t="s">
        <v>1598</v>
      </c>
      <c r="E190">
        <v>0</v>
      </c>
      <c r="F190">
        <v>15424</v>
      </c>
      <c r="G190">
        <v>6553</v>
      </c>
      <c r="H190">
        <v>7212</v>
      </c>
    </row>
    <row r="191" spans="2:8" x14ac:dyDescent="0.45">
      <c r="B191">
        <v>188</v>
      </c>
      <c r="C191">
        <v>16585</v>
      </c>
      <c r="D191" t="s">
        <v>1599</v>
      </c>
      <c r="E191">
        <v>0</v>
      </c>
      <c r="F191">
        <v>15451</v>
      </c>
      <c r="G191">
        <v>6553</v>
      </c>
      <c r="H191">
        <v>7212</v>
      </c>
    </row>
    <row r="192" spans="2:8" x14ac:dyDescent="0.45">
      <c r="B192">
        <v>189</v>
      </c>
      <c r="C192">
        <v>16622</v>
      </c>
      <c r="D192" t="s">
        <v>1600</v>
      </c>
      <c r="E192">
        <v>0</v>
      </c>
      <c r="F192">
        <v>15493</v>
      </c>
      <c r="G192">
        <v>6553</v>
      </c>
      <c r="H192">
        <v>7212</v>
      </c>
    </row>
    <row r="193" spans="2:8" x14ac:dyDescent="0.45">
      <c r="B193">
        <v>190</v>
      </c>
      <c r="C193">
        <v>16639</v>
      </c>
      <c r="D193" t="s">
        <v>1601</v>
      </c>
      <c r="E193">
        <v>0</v>
      </c>
      <c r="F193">
        <v>15509</v>
      </c>
      <c r="G193">
        <v>6553</v>
      </c>
      <c r="H193">
        <v>7212</v>
      </c>
    </row>
    <row r="194" spans="2:8" x14ac:dyDescent="0.45">
      <c r="B194">
        <v>191</v>
      </c>
      <c r="C194">
        <v>16705</v>
      </c>
      <c r="D194" t="s">
        <v>1602</v>
      </c>
      <c r="E194">
        <v>0</v>
      </c>
      <c r="F194">
        <v>15587</v>
      </c>
      <c r="G194">
        <v>6553</v>
      </c>
      <c r="H194">
        <v>7212</v>
      </c>
    </row>
    <row r="195" spans="2:8" x14ac:dyDescent="0.45">
      <c r="B195">
        <v>192</v>
      </c>
      <c r="C195">
        <v>16766</v>
      </c>
      <c r="D195" t="s">
        <v>1603</v>
      </c>
      <c r="E195">
        <v>0</v>
      </c>
      <c r="F195">
        <v>15661</v>
      </c>
      <c r="G195">
        <v>6553</v>
      </c>
      <c r="H195">
        <v>7212</v>
      </c>
    </row>
    <row r="196" spans="2:8" x14ac:dyDescent="0.45">
      <c r="B196">
        <v>193</v>
      </c>
      <c r="C196">
        <v>16839</v>
      </c>
      <c r="D196" t="s">
        <v>1604</v>
      </c>
      <c r="E196">
        <v>0</v>
      </c>
      <c r="F196">
        <v>15746</v>
      </c>
      <c r="G196">
        <v>6553</v>
      </c>
      <c r="H196">
        <v>7212</v>
      </c>
    </row>
    <row r="197" spans="2:8" x14ac:dyDescent="0.45">
      <c r="B197">
        <v>194</v>
      </c>
      <c r="C197">
        <v>16914</v>
      </c>
      <c r="D197" t="s">
        <v>1605</v>
      </c>
      <c r="E197">
        <v>0</v>
      </c>
      <c r="F197">
        <v>15836</v>
      </c>
      <c r="G197">
        <v>6553</v>
      </c>
      <c r="H197">
        <v>7212</v>
      </c>
    </row>
    <row r="198" spans="2:8" x14ac:dyDescent="0.45">
      <c r="B198">
        <v>195</v>
      </c>
      <c r="C198">
        <v>16957</v>
      </c>
      <c r="D198" t="s">
        <v>1606</v>
      </c>
      <c r="E198">
        <v>0</v>
      </c>
      <c r="F198">
        <v>15887</v>
      </c>
      <c r="G198">
        <v>6553</v>
      </c>
      <c r="H198">
        <v>7212</v>
      </c>
    </row>
    <row r="199" spans="2:8" x14ac:dyDescent="0.45">
      <c r="B199">
        <v>196</v>
      </c>
      <c r="C199">
        <v>16957</v>
      </c>
      <c r="D199" t="s">
        <v>1607</v>
      </c>
      <c r="E199">
        <v>0</v>
      </c>
      <c r="F199">
        <v>15887</v>
      </c>
      <c r="G199">
        <v>6553</v>
      </c>
      <c r="H199">
        <v>7212</v>
      </c>
    </row>
    <row r="200" spans="2:8" x14ac:dyDescent="0.45">
      <c r="B200">
        <v>197</v>
      </c>
      <c r="C200">
        <v>17049</v>
      </c>
      <c r="D200" t="s">
        <v>1608</v>
      </c>
      <c r="E200">
        <v>0</v>
      </c>
      <c r="F200">
        <v>15993</v>
      </c>
      <c r="G200">
        <v>6553</v>
      </c>
      <c r="H200">
        <v>7212</v>
      </c>
    </row>
    <row r="201" spans="2:8" x14ac:dyDescent="0.45">
      <c r="B201">
        <v>198</v>
      </c>
      <c r="C201">
        <v>17137</v>
      </c>
      <c r="D201" t="s">
        <v>1609</v>
      </c>
      <c r="E201">
        <v>0</v>
      </c>
      <c r="F201">
        <v>16102</v>
      </c>
      <c r="G201">
        <v>6553</v>
      </c>
      <c r="H201">
        <v>7212</v>
      </c>
    </row>
    <row r="202" spans="2:8" x14ac:dyDescent="0.45">
      <c r="B202">
        <v>199</v>
      </c>
      <c r="C202">
        <v>17217</v>
      </c>
      <c r="D202" t="s">
        <v>1610</v>
      </c>
      <c r="E202">
        <v>0</v>
      </c>
      <c r="F202">
        <v>16197</v>
      </c>
      <c r="G202">
        <v>6553</v>
      </c>
      <c r="H202">
        <v>7212</v>
      </c>
    </row>
    <row r="203" spans="2:8" x14ac:dyDescent="0.45">
      <c r="B203">
        <v>200</v>
      </c>
      <c r="C203">
        <v>17258</v>
      </c>
      <c r="D203" t="s">
        <v>1611</v>
      </c>
      <c r="E203">
        <v>0</v>
      </c>
      <c r="F203">
        <v>16247</v>
      </c>
      <c r="G203">
        <v>6553</v>
      </c>
      <c r="H203">
        <v>7212</v>
      </c>
    </row>
    <row r="204" spans="2:8" x14ac:dyDescent="0.45">
      <c r="B204">
        <v>201</v>
      </c>
      <c r="C204">
        <v>17376</v>
      </c>
      <c r="D204" t="s">
        <v>1612</v>
      </c>
      <c r="E204">
        <v>0</v>
      </c>
      <c r="F204">
        <v>16384</v>
      </c>
      <c r="G204">
        <v>6553</v>
      </c>
      <c r="H204">
        <v>7212</v>
      </c>
    </row>
    <row r="205" spans="2:8" x14ac:dyDescent="0.45">
      <c r="B205">
        <v>202</v>
      </c>
      <c r="C205">
        <v>17389</v>
      </c>
      <c r="D205" t="s">
        <v>1613</v>
      </c>
      <c r="E205">
        <v>0</v>
      </c>
      <c r="F205">
        <v>16404</v>
      </c>
      <c r="G205">
        <v>6553</v>
      </c>
      <c r="H205">
        <v>7212</v>
      </c>
    </row>
    <row r="206" spans="2:8" x14ac:dyDescent="0.45">
      <c r="B206">
        <v>203</v>
      </c>
      <c r="C206">
        <v>17389</v>
      </c>
      <c r="D206" t="s">
        <v>1614</v>
      </c>
      <c r="E206">
        <v>0</v>
      </c>
      <c r="F206">
        <v>16404</v>
      </c>
      <c r="G206">
        <v>6553</v>
      </c>
      <c r="H206">
        <v>7212</v>
      </c>
    </row>
    <row r="207" spans="2:8" x14ac:dyDescent="0.45">
      <c r="B207">
        <v>204</v>
      </c>
      <c r="C207">
        <v>17426</v>
      </c>
      <c r="D207" t="s">
        <v>1615</v>
      </c>
      <c r="E207">
        <v>0</v>
      </c>
      <c r="F207">
        <v>16454</v>
      </c>
      <c r="G207">
        <v>6553</v>
      </c>
      <c r="H207">
        <v>7212</v>
      </c>
    </row>
    <row r="208" spans="2:8" x14ac:dyDescent="0.45">
      <c r="B208">
        <v>205</v>
      </c>
      <c r="C208">
        <v>17493</v>
      </c>
      <c r="D208" t="s">
        <v>1616</v>
      </c>
      <c r="E208">
        <v>0</v>
      </c>
      <c r="F208">
        <v>16529</v>
      </c>
      <c r="G208">
        <v>6553</v>
      </c>
      <c r="H208">
        <v>7212</v>
      </c>
    </row>
    <row r="209" spans="2:8" x14ac:dyDescent="0.45">
      <c r="B209">
        <v>206</v>
      </c>
      <c r="C209">
        <v>17555</v>
      </c>
      <c r="D209" t="s">
        <v>1617</v>
      </c>
      <c r="E209">
        <v>0</v>
      </c>
      <c r="F209">
        <v>16598</v>
      </c>
      <c r="G209">
        <v>6553</v>
      </c>
      <c r="H209">
        <v>7212</v>
      </c>
    </row>
    <row r="210" spans="2:8" x14ac:dyDescent="0.45">
      <c r="B210">
        <v>207</v>
      </c>
      <c r="C210">
        <v>17583</v>
      </c>
      <c r="D210" t="s">
        <v>1618</v>
      </c>
      <c r="E210">
        <v>0</v>
      </c>
      <c r="F210">
        <v>16634</v>
      </c>
      <c r="G210">
        <v>6553</v>
      </c>
      <c r="H210">
        <v>7212</v>
      </c>
    </row>
    <row r="211" spans="2:8" x14ac:dyDescent="0.45">
      <c r="B211">
        <v>208</v>
      </c>
      <c r="C211">
        <v>17673</v>
      </c>
      <c r="D211" t="s">
        <v>1619</v>
      </c>
      <c r="E211">
        <v>0</v>
      </c>
      <c r="F211">
        <v>16735</v>
      </c>
      <c r="G211">
        <v>6553</v>
      </c>
      <c r="H211">
        <v>7212</v>
      </c>
    </row>
    <row r="212" spans="2:8" x14ac:dyDescent="0.45">
      <c r="B212">
        <v>209</v>
      </c>
      <c r="C212">
        <v>17693</v>
      </c>
      <c r="D212" t="s">
        <v>1620</v>
      </c>
      <c r="E212">
        <v>0</v>
      </c>
      <c r="F212">
        <v>16755</v>
      </c>
      <c r="G212">
        <v>6553</v>
      </c>
      <c r="H212">
        <v>7212</v>
      </c>
    </row>
    <row r="213" spans="2:8" x14ac:dyDescent="0.45">
      <c r="B213">
        <v>210</v>
      </c>
      <c r="C213">
        <v>17866</v>
      </c>
      <c r="D213" t="s">
        <v>1621</v>
      </c>
      <c r="E213">
        <v>0</v>
      </c>
      <c r="F213">
        <v>16944</v>
      </c>
      <c r="G213">
        <v>6553</v>
      </c>
      <c r="H213">
        <v>7212</v>
      </c>
    </row>
    <row r="214" spans="2:8" x14ac:dyDescent="0.45">
      <c r="B214">
        <v>211</v>
      </c>
      <c r="C214">
        <v>17866</v>
      </c>
      <c r="D214" t="s">
        <v>1622</v>
      </c>
      <c r="E214">
        <v>0</v>
      </c>
      <c r="F214">
        <v>16944</v>
      </c>
      <c r="G214">
        <v>6553</v>
      </c>
      <c r="H214">
        <v>7212</v>
      </c>
    </row>
    <row r="215" spans="2:8" x14ac:dyDescent="0.45">
      <c r="B215">
        <v>212</v>
      </c>
      <c r="C215">
        <v>17923</v>
      </c>
      <c r="D215" t="s">
        <v>1623</v>
      </c>
      <c r="E215">
        <v>0</v>
      </c>
      <c r="F215">
        <v>17009</v>
      </c>
      <c r="G215">
        <v>6553</v>
      </c>
      <c r="H215">
        <v>7212</v>
      </c>
    </row>
    <row r="216" spans="2:8" x14ac:dyDescent="0.45">
      <c r="B216">
        <v>213</v>
      </c>
      <c r="C216">
        <v>17923</v>
      </c>
      <c r="D216" t="s">
        <v>1624</v>
      </c>
      <c r="E216">
        <v>0</v>
      </c>
      <c r="F216">
        <v>17009</v>
      </c>
      <c r="G216">
        <v>6553</v>
      </c>
      <c r="H216">
        <v>7212</v>
      </c>
    </row>
    <row r="217" spans="2:8" x14ac:dyDescent="0.45">
      <c r="B217">
        <v>214</v>
      </c>
      <c r="C217">
        <v>17942</v>
      </c>
      <c r="D217" t="s">
        <v>1625</v>
      </c>
      <c r="E217">
        <v>0</v>
      </c>
      <c r="F217">
        <v>17034</v>
      </c>
      <c r="G217">
        <v>6553</v>
      </c>
      <c r="H217">
        <v>7212</v>
      </c>
    </row>
    <row r="218" spans="2:8" x14ac:dyDescent="0.45">
      <c r="B218">
        <v>215</v>
      </c>
      <c r="C218">
        <v>18045</v>
      </c>
      <c r="D218" t="s">
        <v>1626</v>
      </c>
      <c r="E218">
        <v>0</v>
      </c>
      <c r="F218">
        <v>17142</v>
      </c>
      <c r="G218">
        <v>6553</v>
      </c>
      <c r="H218">
        <v>7212</v>
      </c>
    </row>
    <row r="219" spans="2:8" x14ac:dyDescent="0.45">
      <c r="B219">
        <v>216</v>
      </c>
      <c r="C219">
        <v>18094</v>
      </c>
      <c r="D219" t="s">
        <v>1627</v>
      </c>
      <c r="E219">
        <v>0</v>
      </c>
      <c r="F219">
        <v>17197</v>
      </c>
      <c r="G219">
        <v>6553</v>
      </c>
      <c r="H219">
        <v>7212</v>
      </c>
    </row>
    <row r="220" spans="2:8" x14ac:dyDescent="0.45">
      <c r="B220">
        <v>217</v>
      </c>
      <c r="C220">
        <v>18130</v>
      </c>
      <c r="D220" t="s">
        <v>1628</v>
      </c>
      <c r="E220">
        <v>0</v>
      </c>
      <c r="F220">
        <v>17235</v>
      </c>
      <c r="G220">
        <v>6553</v>
      </c>
      <c r="H220">
        <v>7212</v>
      </c>
    </row>
    <row r="221" spans="2:8" x14ac:dyDescent="0.45">
      <c r="B221">
        <v>218</v>
      </c>
      <c r="C221">
        <v>18158</v>
      </c>
      <c r="D221" t="s">
        <v>1629</v>
      </c>
      <c r="E221">
        <v>0</v>
      </c>
      <c r="F221">
        <v>17263</v>
      </c>
      <c r="G221">
        <v>6553</v>
      </c>
      <c r="H221">
        <v>7212</v>
      </c>
    </row>
    <row r="222" spans="2:8" x14ac:dyDescent="0.45">
      <c r="B222">
        <v>219</v>
      </c>
      <c r="C222">
        <v>18209</v>
      </c>
      <c r="D222" t="s">
        <v>1630</v>
      </c>
      <c r="E222">
        <v>0</v>
      </c>
      <c r="F222">
        <v>17324</v>
      </c>
      <c r="G222">
        <v>6553</v>
      </c>
      <c r="H222">
        <v>7212</v>
      </c>
    </row>
    <row r="223" spans="2:8" x14ac:dyDescent="0.45">
      <c r="B223">
        <v>220</v>
      </c>
      <c r="C223">
        <v>18209</v>
      </c>
      <c r="D223" t="s">
        <v>1631</v>
      </c>
      <c r="E223">
        <v>0</v>
      </c>
      <c r="F223">
        <v>17324</v>
      </c>
      <c r="G223">
        <v>6553</v>
      </c>
      <c r="H223">
        <v>7212</v>
      </c>
    </row>
    <row r="224" spans="2:8" x14ac:dyDescent="0.45">
      <c r="B224">
        <v>221</v>
      </c>
      <c r="C224">
        <v>18234</v>
      </c>
      <c r="D224" t="s">
        <v>1632</v>
      </c>
      <c r="E224">
        <v>0</v>
      </c>
      <c r="F224">
        <v>17359</v>
      </c>
      <c r="G224">
        <v>6553</v>
      </c>
      <c r="H224">
        <v>7212</v>
      </c>
    </row>
    <row r="225" spans="2:8" x14ac:dyDescent="0.45">
      <c r="B225">
        <v>222</v>
      </c>
      <c r="C225">
        <v>18325</v>
      </c>
      <c r="D225" t="s">
        <v>1633</v>
      </c>
      <c r="E225">
        <v>0</v>
      </c>
      <c r="F225">
        <v>17471</v>
      </c>
      <c r="G225">
        <v>6553</v>
      </c>
      <c r="H225">
        <v>7212</v>
      </c>
    </row>
    <row r="226" spans="2:8" x14ac:dyDescent="0.45">
      <c r="B226">
        <v>223</v>
      </c>
      <c r="C226">
        <v>18354</v>
      </c>
      <c r="D226" t="s">
        <v>1634</v>
      </c>
      <c r="E226">
        <v>0</v>
      </c>
      <c r="F226">
        <v>17502</v>
      </c>
      <c r="G226">
        <v>6553</v>
      </c>
      <c r="H226">
        <v>7212</v>
      </c>
    </row>
    <row r="227" spans="2:8" x14ac:dyDescent="0.45">
      <c r="B227">
        <v>224</v>
      </c>
      <c r="C227">
        <v>18456</v>
      </c>
      <c r="D227" t="s">
        <v>1635</v>
      </c>
      <c r="E227">
        <v>0</v>
      </c>
      <c r="F227">
        <v>17619</v>
      </c>
      <c r="G227">
        <v>6553</v>
      </c>
      <c r="H227">
        <v>7212</v>
      </c>
    </row>
    <row r="228" spans="2:8" x14ac:dyDescent="0.45">
      <c r="B228">
        <v>225</v>
      </c>
      <c r="C228">
        <v>18491</v>
      </c>
      <c r="D228" t="s">
        <v>1636</v>
      </c>
      <c r="E228">
        <v>0</v>
      </c>
      <c r="F228">
        <v>17655</v>
      </c>
      <c r="G228">
        <v>6553</v>
      </c>
      <c r="H228">
        <v>7212</v>
      </c>
    </row>
    <row r="229" spans="2:8" x14ac:dyDescent="0.45">
      <c r="B229">
        <v>226</v>
      </c>
      <c r="C229">
        <v>18611</v>
      </c>
      <c r="D229" t="s">
        <v>1637</v>
      </c>
      <c r="E229">
        <v>0</v>
      </c>
      <c r="F229">
        <v>17783</v>
      </c>
      <c r="G229">
        <v>6553</v>
      </c>
      <c r="H229">
        <v>7212</v>
      </c>
    </row>
    <row r="230" spans="2:8" x14ac:dyDescent="0.45">
      <c r="B230">
        <v>227</v>
      </c>
      <c r="C230">
        <v>18611</v>
      </c>
      <c r="D230" t="s">
        <v>1638</v>
      </c>
      <c r="E230">
        <v>0</v>
      </c>
      <c r="F230">
        <v>17783</v>
      </c>
      <c r="G230">
        <v>6553</v>
      </c>
      <c r="H230">
        <v>7212</v>
      </c>
    </row>
    <row r="231" spans="2:8" x14ac:dyDescent="0.45">
      <c r="B231">
        <v>228</v>
      </c>
      <c r="C231">
        <v>18638</v>
      </c>
      <c r="D231" t="s">
        <v>1639</v>
      </c>
      <c r="E231">
        <v>0</v>
      </c>
      <c r="F231">
        <v>17814</v>
      </c>
      <c r="G231">
        <v>6553</v>
      </c>
      <c r="H231">
        <v>7212</v>
      </c>
    </row>
    <row r="232" spans="2:8" x14ac:dyDescent="0.45">
      <c r="B232">
        <v>229</v>
      </c>
      <c r="C232">
        <v>18638</v>
      </c>
      <c r="D232" t="s">
        <v>1640</v>
      </c>
      <c r="E232">
        <v>0</v>
      </c>
      <c r="F232">
        <v>17814</v>
      </c>
      <c r="G232">
        <v>6553</v>
      </c>
      <c r="H232">
        <v>7212</v>
      </c>
    </row>
    <row r="233" spans="2:8" x14ac:dyDescent="0.45">
      <c r="B233">
        <v>230</v>
      </c>
      <c r="C233">
        <v>18722</v>
      </c>
      <c r="D233" t="s">
        <v>1641</v>
      </c>
      <c r="E233">
        <v>0</v>
      </c>
      <c r="F233">
        <v>17910</v>
      </c>
      <c r="G233">
        <v>6553</v>
      </c>
      <c r="H233">
        <v>7212</v>
      </c>
    </row>
    <row r="234" spans="2:8" x14ac:dyDescent="0.45">
      <c r="B234">
        <v>231</v>
      </c>
      <c r="C234">
        <v>18773</v>
      </c>
      <c r="D234" t="s">
        <v>1642</v>
      </c>
      <c r="E234">
        <v>0</v>
      </c>
      <c r="F234">
        <v>17970</v>
      </c>
      <c r="G234">
        <v>6553</v>
      </c>
      <c r="H234">
        <v>7212</v>
      </c>
    </row>
    <row r="235" spans="2:8" x14ac:dyDescent="0.45">
      <c r="B235">
        <v>232</v>
      </c>
      <c r="C235">
        <v>18828</v>
      </c>
      <c r="D235" t="s">
        <v>1643</v>
      </c>
      <c r="E235">
        <v>0</v>
      </c>
      <c r="F235">
        <v>18043</v>
      </c>
      <c r="G235">
        <v>6553</v>
      </c>
      <c r="H235">
        <v>7212</v>
      </c>
    </row>
    <row r="236" spans="2:8" x14ac:dyDescent="0.45">
      <c r="B236">
        <v>233</v>
      </c>
      <c r="C236">
        <v>18917</v>
      </c>
      <c r="D236" t="s">
        <v>1644</v>
      </c>
      <c r="E236">
        <v>0</v>
      </c>
      <c r="F236">
        <v>18146</v>
      </c>
      <c r="G236">
        <v>6553</v>
      </c>
      <c r="H236">
        <v>7212</v>
      </c>
    </row>
    <row r="237" spans="2:8" x14ac:dyDescent="0.45">
      <c r="B237">
        <v>234</v>
      </c>
      <c r="C237">
        <v>19032</v>
      </c>
      <c r="D237" t="s">
        <v>1645</v>
      </c>
      <c r="E237">
        <v>0</v>
      </c>
      <c r="F237">
        <v>18267</v>
      </c>
      <c r="G237">
        <v>6553</v>
      </c>
      <c r="H237">
        <v>7212</v>
      </c>
    </row>
    <row r="238" spans="2:8" x14ac:dyDescent="0.45">
      <c r="B238">
        <v>235</v>
      </c>
      <c r="C238">
        <v>19119</v>
      </c>
      <c r="D238" t="s">
        <v>1646</v>
      </c>
      <c r="E238">
        <v>0</v>
      </c>
      <c r="F238">
        <v>18370</v>
      </c>
      <c r="G238">
        <v>6553</v>
      </c>
      <c r="H238">
        <v>7212</v>
      </c>
    </row>
    <row r="239" spans="2:8" x14ac:dyDescent="0.45">
      <c r="B239">
        <v>236</v>
      </c>
      <c r="C239">
        <v>19150</v>
      </c>
      <c r="D239" t="s">
        <v>1647</v>
      </c>
      <c r="E239">
        <v>0</v>
      </c>
      <c r="F239">
        <v>18405</v>
      </c>
      <c r="G239">
        <v>6553</v>
      </c>
      <c r="H239">
        <v>7212</v>
      </c>
    </row>
    <row r="240" spans="2:8" x14ac:dyDescent="0.45">
      <c r="B240">
        <v>237</v>
      </c>
      <c r="C240">
        <v>19172</v>
      </c>
      <c r="D240" t="s">
        <v>1648</v>
      </c>
      <c r="E240">
        <v>0</v>
      </c>
      <c r="F240">
        <v>18435</v>
      </c>
      <c r="G240">
        <v>6553</v>
      </c>
      <c r="H240">
        <v>7212</v>
      </c>
    </row>
    <row r="241" spans="2:8" x14ac:dyDescent="0.45">
      <c r="B241">
        <v>238</v>
      </c>
      <c r="C241">
        <v>19223</v>
      </c>
      <c r="D241" t="s">
        <v>1649</v>
      </c>
      <c r="E241">
        <v>0</v>
      </c>
      <c r="F241">
        <v>18502</v>
      </c>
      <c r="G241">
        <v>6553</v>
      </c>
      <c r="H241">
        <v>7212</v>
      </c>
    </row>
    <row r="242" spans="2:8" x14ac:dyDescent="0.45">
      <c r="B242">
        <v>239</v>
      </c>
      <c r="C242">
        <v>19259</v>
      </c>
      <c r="D242" t="s">
        <v>1650</v>
      </c>
      <c r="E242">
        <v>0</v>
      </c>
      <c r="F242">
        <v>18543</v>
      </c>
      <c r="G242">
        <v>6553</v>
      </c>
      <c r="H242">
        <v>7212</v>
      </c>
    </row>
    <row r="243" spans="2:8" x14ac:dyDescent="0.45">
      <c r="B243">
        <v>240</v>
      </c>
      <c r="C243">
        <v>19259</v>
      </c>
      <c r="D243" t="s">
        <v>1651</v>
      </c>
      <c r="E243">
        <v>0</v>
      </c>
      <c r="F243">
        <v>18543</v>
      </c>
      <c r="G243">
        <v>6553</v>
      </c>
      <c r="H243">
        <v>7212</v>
      </c>
    </row>
    <row r="244" spans="2:8" x14ac:dyDescent="0.45">
      <c r="B244">
        <v>241</v>
      </c>
      <c r="C244">
        <v>19414</v>
      </c>
      <c r="D244" t="s">
        <v>1652</v>
      </c>
      <c r="E244">
        <v>0</v>
      </c>
      <c r="F244">
        <v>18719</v>
      </c>
      <c r="G244">
        <v>6553</v>
      </c>
      <c r="H244">
        <v>7212</v>
      </c>
    </row>
    <row r="245" spans="2:8" x14ac:dyDescent="0.45">
      <c r="B245">
        <v>242</v>
      </c>
      <c r="C245">
        <v>19443</v>
      </c>
      <c r="D245" t="s">
        <v>1653</v>
      </c>
      <c r="E245">
        <v>0</v>
      </c>
      <c r="F245">
        <v>18752</v>
      </c>
      <c r="G245">
        <v>6553</v>
      </c>
      <c r="H245">
        <v>7212</v>
      </c>
    </row>
    <row r="246" spans="2:8" x14ac:dyDescent="0.45">
      <c r="B246">
        <v>243</v>
      </c>
      <c r="C246">
        <v>19443</v>
      </c>
      <c r="D246" t="s">
        <v>1654</v>
      </c>
      <c r="E246">
        <v>0</v>
      </c>
      <c r="F246">
        <v>18752</v>
      </c>
      <c r="G246">
        <v>6553</v>
      </c>
      <c r="H246">
        <v>7212</v>
      </c>
    </row>
    <row r="247" spans="2:8" x14ac:dyDescent="0.45">
      <c r="B247">
        <v>244</v>
      </c>
      <c r="C247">
        <v>19473</v>
      </c>
      <c r="D247" t="s">
        <v>1655</v>
      </c>
      <c r="E247">
        <v>0</v>
      </c>
      <c r="F247">
        <v>18787</v>
      </c>
      <c r="G247">
        <v>6553</v>
      </c>
      <c r="H247">
        <v>7212</v>
      </c>
    </row>
    <row r="248" spans="2:8" x14ac:dyDescent="0.45">
      <c r="B248">
        <v>245</v>
      </c>
      <c r="C248">
        <v>19506</v>
      </c>
      <c r="D248" t="s">
        <v>1656</v>
      </c>
      <c r="E248">
        <v>0</v>
      </c>
      <c r="F248">
        <v>18825</v>
      </c>
      <c r="G248">
        <v>6553</v>
      </c>
      <c r="H248">
        <v>7212</v>
      </c>
    </row>
    <row r="249" spans="2:8" x14ac:dyDescent="0.45">
      <c r="B249">
        <v>246</v>
      </c>
      <c r="C249">
        <v>19506</v>
      </c>
      <c r="D249" t="s">
        <v>1657</v>
      </c>
      <c r="E249">
        <v>0</v>
      </c>
      <c r="F249">
        <v>18825</v>
      </c>
      <c r="G249">
        <v>6553</v>
      </c>
      <c r="H249">
        <v>7212</v>
      </c>
    </row>
    <row r="250" spans="2:8" x14ac:dyDescent="0.45">
      <c r="B250">
        <v>247</v>
      </c>
      <c r="C250">
        <v>19530</v>
      </c>
      <c r="D250" t="s">
        <v>1658</v>
      </c>
      <c r="E250">
        <v>0</v>
      </c>
      <c r="F250">
        <v>18852</v>
      </c>
      <c r="G250">
        <v>6553</v>
      </c>
      <c r="H250">
        <v>7212</v>
      </c>
    </row>
    <row r="251" spans="2:8" x14ac:dyDescent="0.45">
      <c r="B251">
        <v>248</v>
      </c>
      <c r="C251">
        <v>19594</v>
      </c>
      <c r="D251" t="s">
        <v>1659</v>
      </c>
      <c r="E251">
        <v>0</v>
      </c>
      <c r="F251">
        <v>18921</v>
      </c>
      <c r="G251">
        <v>6553</v>
      </c>
      <c r="H251">
        <v>7212</v>
      </c>
    </row>
    <row r="252" spans="2:8" x14ac:dyDescent="0.45">
      <c r="B252">
        <v>249</v>
      </c>
      <c r="C252">
        <v>19594</v>
      </c>
      <c r="D252" t="s">
        <v>1660</v>
      </c>
      <c r="E252">
        <v>0</v>
      </c>
      <c r="F252">
        <v>18921</v>
      </c>
      <c r="G252">
        <v>6553</v>
      </c>
      <c r="H252">
        <v>7212</v>
      </c>
    </row>
    <row r="253" spans="2:8" x14ac:dyDescent="0.45">
      <c r="B253">
        <v>250</v>
      </c>
      <c r="C253">
        <v>19650</v>
      </c>
      <c r="D253" t="s">
        <v>1661</v>
      </c>
      <c r="E253">
        <v>0</v>
      </c>
      <c r="F253">
        <v>18986</v>
      </c>
      <c r="G253">
        <v>6553</v>
      </c>
      <c r="H253">
        <v>7212</v>
      </c>
    </row>
    <row r="254" spans="2:8" x14ac:dyDescent="0.45">
      <c r="B254">
        <v>251</v>
      </c>
      <c r="C254">
        <v>19650</v>
      </c>
      <c r="D254" t="s">
        <v>1662</v>
      </c>
      <c r="E254">
        <v>0</v>
      </c>
      <c r="F254">
        <v>18986</v>
      </c>
      <c r="G254">
        <v>6553</v>
      </c>
      <c r="H254">
        <v>7212</v>
      </c>
    </row>
    <row r="255" spans="2:8" x14ac:dyDescent="0.45">
      <c r="B255">
        <v>252</v>
      </c>
      <c r="C255">
        <v>19719</v>
      </c>
      <c r="D255" t="s">
        <v>1663</v>
      </c>
      <c r="E255">
        <v>0</v>
      </c>
      <c r="F255">
        <v>19057</v>
      </c>
      <c r="G255">
        <v>6553</v>
      </c>
      <c r="H255">
        <v>7212</v>
      </c>
    </row>
    <row r="256" spans="2:8" x14ac:dyDescent="0.45">
      <c r="B256">
        <v>253</v>
      </c>
      <c r="C256">
        <v>19719</v>
      </c>
      <c r="D256" t="s">
        <v>1664</v>
      </c>
      <c r="E256">
        <v>0</v>
      </c>
      <c r="F256">
        <v>19057</v>
      </c>
      <c r="G256">
        <v>6553</v>
      </c>
      <c r="H256">
        <v>7212</v>
      </c>
    </row>
    <row r="257" spans="2:8" x14ac:dyDescent="0.45">
      <c r="B257">
        <v>254</v>
      </c>
      <c r="C257">
        <v>19796</v>
      </c>
      <c r="D257" t="s">
        <v>1665</v>
      </c>
      <c r="E257">
        <v>0</v>
      </c>
      <c r="F257">
        <v>19147</v>
      </c>
      <c r="G257">
        <v>6553</v>
      </c>
      <c r="H257">
        <v>7212</v>
      </c>
    </row>
    <row r="258" spans="2:8" x14ac:dyDescent="0.45">
      <c r="B258">
        <v>255</v>
      </c>
      <c r="C258">
        <v>19796</v>
      </c>
      <c r="D258" t="s">
        <v>1666</v>
      </c>
      <c r="E258">
        <v>0</v>
      </c>
      <c r="F258">
        <v>19147</v>
      </c>
      <c r="G258">
        <v>6553</v>
      </c>
      <c r="H258">
        <v>7212</v>
      </c>
    </row>
    <row r="259" spans="2:8" x14ac:dyDescent="0.45">
      <c r="B259">
        <v>256</v>
      </c>
      <c r="C259">
        <v>19831</v>
      </c>
      <c r="D259" t="s">
        <v>1667</v>
      </c>
      <c r="E259">
        <v>0</v>
      </c>
      <c r="F259">
        <v>19232</v>
      </c>
      <c r="G259">
        <v>6553</v>
      </c>
      <c r="H259">
        <v>7212</v>
      </c>
    </row>
    <row r="260" spans="2:8" x14ac:dyDescent="0.45">
      <c r="B260">
        <v>257</v>
      </c>
      <c r="C260">
        <v>19831</v>
      </c>
      <c r="D260" t="s">
        <v>1668</v>
      </c>
      <c r="E260">
        <v>0</v>
      </c>
      <c r="F260">
        <v>19187</v>
      </c>
      <c r="G260">
        <v>6553</v>
      </c>
      <c r="H260">
        <v>7212</v>
      </c>
    </row>
    <row r="261" spans="2:8" x14ac:dyDescent="0.45">
      <c r="B261">
        <v>258</v>
      </c>
      <c r="C261">
        <v>19875</v>
      </c>
      <c r="D261" t="s">
        <v>1669</v>
      </c>
      <c r="E261">
        <v>0</v>
      </c>
      <c r="F261">
        <v>19234</v>
      </c>
      <c r="G261">
        <v>6553</v>
      </c>
      <c r="H261">
        <v>7212</v>
      </c>
    </row>
    <row r="262" spans="2:8" x14ac:dyDescent="0.45">
      <c r="B262">
        <v>259</v>
      </c>
      <c r="C262">
        <v>19875</v>
      </c>
      <c r="D262" t="s">
        <v>1670</v>
      </c>
      <c r="E262">
        <v>0</v>
      </c>
      <c r="F262">
        <v>19234</v>
      </c>
      <c r="G262">
        <v>6553</v>
      </c>
      <c r="H262">
        <v>7212</v>
      </c>
    </row>
    <row r="263" spans="2:8" x14ac:dyDescent="0.45">
      <c r="B263">
        <v>260</v>
      </c>
      <c r="C263">
        <v>19875</v>
      </c>
      <c r="D263" t="s">
        <v>1671</v>
      </c>
      <c r="E263">
        <v>0</v>
      </c>
      <c r="F263">
        <v>19234</v>
      </c>
      <c r="G263">
        <v>6553</v>
      </c>
      <c r="H263">
        <v>7212</v>
      </c>
    </row>
    <row r="264" spans="2:8" x14ac:dyDescent="0.45">
      <c r="B264">
        <v>261</v>
      </c>
      <c r="C264">
        <v>19957</v>
      </c>
      <c r="D264" t="s">
        <v>1672</v>
      </c>
      <c r="E264">
        <v>0</v>
      </c>
      <c r="F264">
        <v>19322</v>
      </c>
      <c r="G264">
        <v>6553</v>
      </c>
      <c r="H264">
        <v>7212</v>
      </c>
    </row>
    <row r="265" spans="2:8" x14ac:dyDescent="0.45">
      <c r="B265">
        <v>262</v>
      </c>
      <c r="C265">
        <v>19993</v>
      </c>
      <c r="D265" t="s">
        <v>1673</v>
      </c>
      <c r="E265">
        <v>0</v>
      </c>
      <c r="F265">
        <v>19362</v>
      </c>
      <c r="G265">
        <v>6553</v>
      </c>
      <c r="H265">
        <v>7212</v>
      </c>
    </row>
    <row r="266" spans="2:8" x14ac:dyDescent="0.45">
      <c r="B266">
        <v>263</v>
      </c>
      <c r="C266">
        <v>19993</v>
      </c>
      <c r="D266" t="s">
        <v>1674</v>
      </c>
      <c r="E266">
        <v>0</v>
      </c>
      <c r="F266">
        <v>19362</v>
      </c>
      <c r="G266">
        <v>6553</v>
      </c>
      <c r="H266">
        <v>7212</v>
      </c>
    </row>
    <row r="267" spans="2:8" x14ac:dyDescent="0.45">
      <c r="B267">
        <v>264</v>
      </c>
      <c r="C267">
        <v>20061</v>
      </c>
      <c r="D267" t="s">
        <v>1675</v>
      </c>
      <c r="E267">
        <v>0</v>
      </c>
      <c r="F267">
        <v>19439</v>
      </c>
      <c r="G267">
        <v>6553</v>
      </c>
      <c r="H267">
        <v>7212</v>
      </c>
    </row>
    <row r="268" spans="2:8" x14ac:dyDescent="0.45">
      <c r="B268">
        <v>265</v>
      </c>
      <c r="C268">
        <v>20096</v>
      </c>
      <c r="D268" t="s">
        <v>1676</v>
      </c>
      <c r="E268">
        <v>0</v>
      </c>
      <c r="F268">
        <v>19487</v>
      </c>
      <c r="G268">
        <v>6553</v>
      </c>
      <c r="H268">
        <v>7212</v>
      </c>
    </row>
    <row r="269" spans="2:8" x14ac:dyDescent="0.45">
      <c r="B269">
        <v>266</v>
      </c>
      <c r="C269">
        <v>20096</v>
      </c>
      <c r="D269" t="s">
        <v>1677</v>
      </c>
      <c r="E269">
        <v>0</v>
      </c>
      <c r="F269">
        <v>19487</v>
      </c>
      <c r="G269">
        <v>6553</v>
      </c>
      <c r="H269">
        <v>7212</v>
      </c>
    </row>
    <row r="270" spans="2:8" x14ac:dyDescent="0.45">
      <c r="B270">
        <v>267</v>
      </c>
      <c r="C270">
        <v>20129</v>
      </c>
      <c r="D270" t="s">
        <v>1678</v>
      </c>
      <c r="E270">
        <v>0</v>
      </c>
      <c r="F270">
        <v>19523</v>
      </c>
      <c r="G270">
        <v>6553</v>
      </c>
      <c r="H270">
        <v>7212</v>
      </c>
    </row>
    <row r="271" spans="2:8" x14ac:dyDescent="0.45">
      <c r="B271">
        <v>268</v>
      </c>
      <c r="C271">
        <v>20347</v>
      </c>
      <c r="D271" t="s">
        <v>1679</v>
      </c>
      <c r="E271">
        <v>0</v>
      </c>
      <c r="F271">
        <v>19763</v>
      </c>
      <c r="G271">
        <v>6553</v>
      </c>
      <c r="H271">
        <v>7212</v>
      </c>
    </row>
    <row r="272" spans="2:8" x14ac:dyDescent="0.45">
      <c r="B272">
        <v>269</v>
      </c>
      <c r="C272">
        <v>20347</v>
      </c>
      <c r="D272" t="s">
        <v>1680</v>
      </c>
      <c r="E272">
        <v>0</v>
      </c>
      <c r="F272">
        <v>19763</v>
      </c>
      <c r="G272">
        <v>6553</v>
      </c>
      <c r="H272">
        <v>7212</v>
      </c>
    </row>
    <row r="273" spans="2:8" x14ac:dyDescent="0.45">
      <c r="B273">
        <v>270</v>
      </c>
      <c r="C273">
        <v>20384</v>
      </c>
      <c r="D273" t="s">
        <v>1681</v>
      </c>
      <c r="E273">
        <v>0</v>
      </c>
      <c r="F273">
        <v>19800</v>
      </c>
      <c r="G273">
        <v>6553</v>
      </c>
      <c r="H273">
        <v>7212</v>
      </c>
    </row>
    <row r="274" spans="2:8" x14ac:dyDescent="0.45">
      <c r="B274">
        <v>271</v>
      </c>
      <c r="C274">
        <v>20508</v>
      </c>
      <c r="D274" t="s">
        <v>1682</v>
      </c>
      <c r="E274">
        <v>0</v>
      </c>
      <c r="F274">
        <v>19945</v>
      </c>
      <c r="G274">
        <v>6553</v>
      </c>
      <c r="H274">
        <v>7212</v>
      </c>
    </row>
    <row r="275" spans="2:8" x14ac:dyDescent="0.45">
      <c r="B275">
        <v>272</v>
      </c>
      <c r="C275">
        <v>20628</v>
      </c>
      <c r="D275" t="s">
        <v>1683</v>
      </c>
      <c r="E275">
        <v>0</v>
      </c>
      <c r="F275">
        <v>20078</v>
      </c>
      <c r="G275">
        <v>6553</v>
      </c>
      <c r="H275">
        <v>7212</v>
      </c>
    </row>
    <row r="276" spans="2:8" x14ac:dyDescent="0.45">
      <c r="B276">
        <v>273</v>
      </c>
      <c r="C276">
        <v>20628</v>
      </c>
      <c r="D276" t="s">
        <v>1684</v>
      </c>
      <c r="E276">
        <v>0</v>
      </c>
      <c r="F276">
        <v>20078</v>
      </c>
      <c r="G276">
        <v>6553</v>
      </c>
      <c r="H276">
        <v>7212</v>
      </c>
    </row>
    <row r="277" spans="2:8" x14ac:dyDescent="0.45">
      <c r="B277">
        <v>274</v>
      </c>
      <c r="C277">
        <v>20670</v>
      </c>
      <c r="D277" t="s">
        <v>1685</v>
      </c>
      <c r="E277">
        <v>0</v>
      </c>
      <c r="F277">
        <v>20118</v>
      </c>
      <c r="G277">
        <v>6553</v>
      </c>
      <c r="H277">
        <v>7212</v>
      </c>
    </row>
    <row r="278" spans="2:8" x14ac:dyDescent="0.45">
      <c r="B278">
        <v>275</v>
      </c>
      <c r="C278">
        <v>20670</v>
      </c>
      <c r="D278" t="s">
        <v>1686</v>
      </c>
      <c r="E278">
        <v>0</v>
      </c>
      <c r="F278">
        <v>20118</v>
      </c>
      <c r="G278">
        <v>6553</v>
      </c>
      <c r="H278">
        <v>7212</v>
      </c>
    </row>
    <row r="279" spans="2:8" x14ac:dyDescent="0.45">
      <c r="B279">
        <v>276</v>
      </c>
      <c r="C279">
        <v>20670</v>
      </c>
      <c r="D279" t="s">
        <v>1687</v>
      </c>
      <c r="E279">
        <v>0</v>
      </c>
      <c r="F279">
        <v>20118</v>
      </c>
      <c r="G279">
        <v>6553</v>
      </c>
      <c r="H279">
        <v>7212</v>
      </c>
    </row>
    <row r="280" spans="2:8" x14ac:dyDescent="0.45">
      <c r="B280">
        <v>277</v>
      </c>
      <c r="C280">
        <v>20713</v>
      </c>
      <c r="D280" t="s">
        <v>1688</v>
      </c>
      <c r="E280">
        <v>0</v>
      </c>
      <c r="F280">
        <v>20166</v>
      </c>
      <c r="G280">
        <v>6553</v>
      </c>
      <c r="H280">
        <v>7212</v>
      </c>
    </row>
    <row r="281" spans="2:8" x14ac:dyDescent="0.45">
      <c r="B281">
        <v>278</v>
      </c>
      <c r="C281">
        <v>20749</v>
      </c>
      <c r="D281" t="s">
        <v>1689</v>
      </c>
      <c r="E281">
        <v>0</v>
      </c>
      <c r="F281">
        <v>20210</v>
      </c>
      <c r="G281">
        <v>6553</v>
      </c>
      <c r="H281">
        <v>7212</v>
      </c>
    </row>
    <row r="282" spans="2:8" x14ac:dyDescent="0.45">
      <c r="B282">
        <v>279</v>
      </c>
      <c r="C282">
        <v>20790</v>
      </c>
      <c r="D282" t="s">
        <v>1690</v>
      </c>
      <c r="E282">
        <v>0</v>
      </c>
      <c r="F282">
        <v>20256</v>
      </c>
      <c r="G282">
        <v>6553</v>
      </c>
      <c r="H282">
        <v>7212</v>
      </c>
    </row>
    <row r="283" spans="2:8" x14ac:dyDescent="0.45">
      <c r="B283">
        <v>280</v>
      </c>
      <c r="C283">
        <v>20790</v>
      </c>
      <c r="D283" t="s">
        <v>1691</v>
      </c>
      <c r="E283">
        <v>0</v>
      </c>
      <c r="F283">
        <v>20256</v>
      </c>
      <c r="G283">
        <v>6553</v>
      </c>
      <c r="H283">
        <v>7212</v>
      </c>
    </row>
    <row r="284" spans="2:8" x14ac:dyDescent="0.45">
      <c r="B284">
        <v>281</v>
      </c>
      <c r="C284">
        <v>20823</v>
      </c>
      <c r="D284" t="s">
        <v>1692</v>
      </c>
      <c r="E284">
        <v>0</v>
      </c>
      <c r="F284">
        <v>20297</v>
      </c>
      <c r="G284">
        <v>6553</v>
      </c>
      <c r="H284">
        <v>7212</v>
      </c>
    </row>
    <row r="285" spans="2:8" x14ac:dyDescent="0.45">
      <c r="B285">
        <v>282</v>
      </c>
      <c r="C285">
        <v>20853</v>
      </c>
      <c r="D285" t="s">
        <v>1693</v>
      </c>
      <c r="E285">
        <v>0</v>
      </c>
      <c r="F285">
        <v>20332</v>
      </c>
      <c r="G285">
        <v>6553</v>
      </c>
      <c r="H285">
        <v>7212</v>
      </c>
    </row>
    <row r="286" spans="2:8" x14ac:dyDescent="0.45">
      <c r="B286">
        <v>283</v>
      </c>
      <c r="C286">
        <v>20853</v>
      </c>
      <c r="D286" t="s">
        <v>1694</v>
      </c>
      <c r="E286">
        <v>0</v>
      </c>
      <c r="F286">
        <v>20332</v>
      </c>
      <c r="G286">
        <v>6553</v>
      </c>
      <c r="H286">
        <v>7212</v>
      </c>
    </row>
    <row r="287" spans="2:8" x14ac:dyDescent="0.45">
      <c r="B287">
        <v>284</v>
      </c>
      <c r="C287">
        <v>20920</v>
      </c>
      <c r="D287" t="s">
        <v>1695</v>
      </c>
      <c r="E287">
        <v>0</v>
      </c>
      <c r="F287">
        <v>20412</v>
      </c>
      <c r="G287">
        <v>6553</v>
      </c>
      <c r="H287">
        <v>7212</v>
      </c>
    </row>
    <row r="288" spans="2:8" x14ac:dyDescent="0.45">
      <c r="B288">
        <v>285</v>
      </c>
      <c r="C288">
        <v>20953</v>
      </c>
      <c r="D288" t="s">
        <v>1696</v>
      </c>
      <c r="E288">
        <v>0</v>
      </c>
      <c r="F288">
        <v>20451</v>
      </c>
      <c r="G288">
        <v>6553</v>
      </c>
      <c r="H288">
        <v>7212</v>
      </c>
    </row>
    <row r="289" spans="2:8" x14ac:dyDescent="0.45">
      <c r="B289">
        <v>286</v>
      </c>
      <c r="C289">
        <v>21034</v>
      </c>
      <c r="D289" t="s">
        <v>1697</v>
      </c>
      <c r="E289">
        <v>0</v>
      </c>
      <c r="F289">
        <v>20546</v>
      </c>
      <c r="G289">
        <v>6553</v>
      </c>
      <c r="H289">
        <v>7212</v>
      </c>
    </row>
    <row r="290" spans="2:8" x14ac:dyDescent="0.45">
      <c r="B290">
        <v>287</v>
      </c>
      <c r="C290">
        <v>21069</v>
      </c>
      <c r="D290" t="s">
        <v>1698</v>
      </c>
      <c r="E290">
        <v>0</v>
      </c>
      <c r="F290">
        <v>20583</v>
      </c>
      <c r="G290">
        <v>6553</v>
      </c>
      <c r="H290">
        <v>7212</v>
      </c>
    </row>
    <row r="291" spans="2:8" x14ac:dyDescent="0.45">
      <c r="B291">
        <v>288</v>
      </c>
      <c r="C291">
        <v>21069</v>
      </c>
      <c r="D291" t="s">
        <v>1699</v>
      </c>
      <c r="E291">
        <v>0</v>
      </c>
      <c r="F291">
        <v>20583</v>
      </c>
      <c r="G291">
        <v>6553</v>
      </c>
      <c r="H291">
        <v>7212</v>
      </c>
    </row>
    <row r="292" spans="2:8" x14ac:dyDescent="0.45">
      <c r="B292">
        <v>289</v>
      </c>
      <c r="C292">
        <v>21190</v>
      </c>
      <c r="D292" t="s">
        <v>1700</v>
      </c>
      <c r="E292">
        <v>0</v>
      </c>
      <c r="F292">
        <v>20716</v>
      </c>
      <c r="G292">
        <v>6553</v>
      </c>
      <c r="H292">
        <v>7212</v>
      </c>
    </row>
    <row r="293" spans="2:8" x14ac:dyDescent="0.45">
      <c r="B293">
        <v>290</v>
      </c>
      <c r="C293">
        <v>21190</v>
      </c>
      <c r="D293" t="s">
        <v>1701</v>
      </c>
      <c r="E293">
        <v>0</v>
      </c>
      <c r="F293">
        <v>20716</v>
      </c>
      <c r="G293">
        <v>6553</v>
      </c>
      <c r="H293">
        <v>7212</v>
      </c>
    </row>
    <row r="294" spans="2:8" x14ac:dyDescent="0.45">
      <c r="B294">
        <v>291</v>
      </c>
      <c r="C294">
        <v>21321</v>
      </c>
      <c r="D294" t="s">
        <v>1702</v>
      </c>
      <c r="E294">
        <v>0</v>
      </c>
      <c r="F294">
        <v>20869</v>
      </c>
      <c r="G294">
        <v>6553</v>
      </c>
      <c r="H294">
        <v>7212</v>
      </c>
    </row>
    <row r="295" spans="2:8" x14ac:dyDescent="0.45">
      <c r="B295">
        <v>292</v>
      </c>
      <c r="C295">
        <v>21361</v>
      </c>
      <c r="D295" t="s">
        <v>1703</v>
      </c>
      <c r="E295">
        <v>0</v>
      </c>
      <c r="F295">
        <v>20912</v>
      </c>
      <c r="G295">
        <v>6553</v>
      </c>
      <c r="H295">
        <v>7212</v>
      </c>
    </row>
    <row r="296" spans="2:8" x14ac:dyDescent="0.45">
      <c r="B296">
        <v>293</v>
      </c>
      <c r="C296">
        <v>21409</v>
      </c>
      <c r="D296" t="s">
        <v>1704</v>
      </c>
      <c r="E296">
        <v>0</v>
      </c>
      <c r="F296">
        <v>20963</v>
      </c>
      <c r="G296">
        <v>6553</v>
      </c>
      <c r="H296">
        <v>7212</v>
      </c>
    </row>
    <row r="297" spans="2:8" x14ac:dyDescent="0.45">
      <c r="B297">
        <v>294</v>
      </c>
      <c r="C297">
        <v>21409</v>
      </c>
      <c r="D297" t="s">
        <v>1705</v>
      </c>
      <c r="E297">
        <v>0</v>
      </c>
      <c r="F297">
        <v>20963</v>
      </c>
      <c r="G297">
        <v>6553</v>
      </c>
      <c r="H297">
        <v>7212</v>
      </c>
    </row>
    <row r="298" spans="2:8" x14ac:dyDescent="0.45">
      <c r="B298">
        <v>295</v>
      </c>
      <c r="C298">
        <v>21499</v>
      </c>
      <c r="D298" t="s">
        <v>1706</v>
      </c>
      <c r="E298">
        <v>0</v>
      </c>
      <c r="F298">
        <v>21059</v>
      </c>
      <c r="G298">
        <v>6553</v>
      </c>
      <c r="H298">
        <v>7212</v>
      </c>
    </row>
    <row r="299" spans="2:8" x14ac:dyDescent="0.45">
      <c r="B299">
        <v>296</v>
      </c>
      <c r="C299">
        <v>21499</v>
      </c>
      <c r="D299" t="s">
        <v>1707</v>
      </c>
      <c r="E299">
        <v>0</v>
      </c>
      <c r="F299">
        <v>21059</v>
      </c>
      <c r="G299">
        <v>6553</v>
      </c>
      <c r="H299">
        <v>7212</v>
      </c>
    </row>
    <row r="300" spans="2:8" x14ac:dyDescent="0.45">
      <c r="B300">
        <v>297</v>
      </c>
      <c r="C300">
        <v>21539</v>
      </c>
      <c r="D300" t="s">
        <v>1708</v>
      </c>
      <c r="E300">
        <v>0</v>
      </c>
      <c r="F300">
        <v>21109</v>
      </c>
      <c r="G300">
        <v>6553</v>
      </c>
      <c r="H300">
        <v>7212</v>
      </c>
    </row>
    <row r="301" spans="2:8" x14ac:dyDescent="0.45">
      <c r="B301">
        <v>298</v>
      </c>
      <c r="C301">
        <v>21539</v>
      </c>
      <c r="D301" t="s">
        <v>1709</v>
      </c>
      <c r="E301">
        <v>0</v>
      </c>
      <c r="F301">
        <v>21109</v>
      </c>
      <c r="G301">
        <v>6553</v>
      </c>
      <c r="H301">
        <v>7212</v>
      </c>
    </row>
    <row r="302" spans="2:8" x14ac:dyDescent="0.45">
      <c r="B302">
        <v>299</v>
      </c>
      <c r="C302">
        <v>21539</v>
      </c>
      <c r="D302" t="s">
        <v>1710</v>
      </c>
      <c r="E302">
        <v>0</v>
      </c>
      <c r="F302">
        <v>21109</v>
      </c>
      <c r="G302">
        <v>6553</v>
      </c>
      <c r="H302">
        <v>7212</v>
      </c>
    </row>
    <row r="303" spans="2:8" x14ac:dyDescent="0.45">
      <c r="B303">
        <v>300</v>
      </c>
      <c r="C303">
        <v>21539</v>
      </c>
      <c r="D303" t="s">
        <v>1711</v>
      </c>
      <c r="E303">
        <v>0</v>
      </c>
      <c r="F303">
        <v>21109</v>
      </c>
      <c r="G303">
        <v>6553</v>
      </c>
      <c r="H303">
        <v>7212</v>
      </c>
    </row>
    <row r="304" spans="2:8" x14ac:dyDescent="0.45">
      <c r="B304">
        <v>301</v>
      </c>
      <c r="C304">
        <v>21581</v>
      </c>
      <c r="D304" t="s">
        <v>1712</v>
      </c>
      <c r="E304">
        <v>0</v>
      </c>
      <c r="F304">
        <v>21165</v>
      </c>
      <c r="G304">
        <v>6553</v>
      </c>
      <c r="H304">
        <v>7212</v>
      </c>
    </row>
    <row r="305" spans="2:8" x14ac:dyDescent="0.45">
      <c r="B305">
        <v>302</v>
      </c>
      <c r="C305">
        <v>21637</v>
      </c>
      <c r="D305" t="s">
        <v>1713</v>
      </c>
      <c r="E305">
        <v>0</v>
      </c>
      <c r="F305">
        <v>21220</v>
      </c>
      <c r="G305">
        <v>6553</v>
      </c>
      <c r="H305">
        <v>7212</v>
      </c>
    </row>
    <row r="306" spans="2:8" x14ac:dyDescent="0.45">
      <c r="B306">
        <v>303</v>
      </c>
      <c r="C306">
        <v>21680</v>
      </c>
      <c r="D306" t="s">
        <v>1714</v>
      </c>
      <c r="E306">
        <v>0</v>
      </c>
      <c r="F306">
        <v>21267</v>
      </c>
      <c r="G306">
        <v>6553</v>
      </c>
      <c r="H306">
        <v>7212</v>
      </c>
    </row>
    <row r="307" spans="2:8" x14ac:dyDescent="0.45">
      <c r="B307">
        <v>304</v>
      </c>
      <c r="C307">
        <v>21735</v>
      </c>
      <c r="D307" t="s">
        <v>1715</v>
      </c>
      <c r="E307">
        <v>0</v>
      </c>
      <c r="F307">
        <v>21324</v>
      </c>
      <c r="G307">
        <v>6553</v>
      </c>
      <c r="H307">
        <v>7212</v>
      </c>
    </row>
    <row r="308" spans="2:8" x14ac:dyDescent="0.45">
      <c r="B308">
        <v>305</v>
      </c>
      <c r="C308">
        <v>21735</v>
      </c>
      <c r="D308" t="s">
        <v>1716</v>
      </c>
      <c r="E308">
        <v>0</v>
      </c>
      <c r="F308">
        <v>21324</v>
      </c>
      <c r="G308">
        <v>6553</v>
      </c>
      <c r="H308">
        <v>7212</v>
      </c>
    </row>
    <row r="309" spans="2:8" x14ac:dyDescent="0.45">
      <c r="B309">
        <v>306</v>
      </c>
      <c r="C309">
        <v>21777</v>
      </c>
      <c r="D309" t="s">
        <v>1717</v>
      </c>
      <c r="E309">
        <v>0</v>
      </c>
      <c r="F309">
        <v>21370</v>
      </c>
      <c r="G309">
        <v>6553</v>
      </c>
      <c r="H309">
        <v>7212</v>
      </c>
    </row>
    <row r="310" spans="2:8" x14ac:dyDescent="0.45">
      <c r="B310">
        <v>307</v>
      </c>
      <c r="C310">
        <v>22044</v>
      </c>
      <c r="D310" t="s">
        <v>1718</v>
      </c>
      <c r="E310">
        <v>0</v>
      </c>
      <c r="F310">
        <v>21671</v>
      </c>
      <c r="G310">
        <v>6553</v>
      </c>
      <c r="H310">
        <v>7212</v>
      </c>
    </row>
    <row r="311" spans="2:8" x14ac:dyDescent="0.45">
      <c r="B311">
        <v>308</v>
      </c>
      <c r="C311">
        <v>22092</v>
      </c>
      <c r="D311" t="s">
        <v>1719</v>
      </c>
      <c r="E311">
        <v>0</v>
      </c>
      <c r="F311">
        <v>21718</v>
      </c>
      <c r="G311">
        <v>6553</v>
      </c>
      <c r="H311">
        <v>7212</v>
      </c>
    </row>
    <row r="312" spans="2:8" x14ac:dyDescent="0.45">
      <c r="B312">
        <v>309</v>
      </c>
      <c r="C312">
        <v>22152</v>
      </c>
      <c r="D312" t="s">
        <v>1720</v>
      </c>
      <c r="E312">
        <v>0</v>
      </c>
      <c r="F312">
        <v>21786</v>
      </c>
      <c r="G312">
        <v>6553</v>
      </c>
      <c r="H312">
        <v>7212</v>
      </c>
    </row>
    <row r="313" spans="2:8" x14ac:dyDescent="0.45">
      <c r="B313">
        <v>310</v>
      </c>
      <c r="C313">
        <v>22199</v>
      </c>
      <c r="D313" t="s">
        <v>1721</v>
      </c>
      <c r="E313">
        <v>0</v>
      </c>
      <c r="F313">
        <v>21837</v>
      </c>
      <c r="G313">
        <v>6553</v>
      </c>
      <c r="H313">
        <v>7212</v>
      </c>
    </row>
    <row r="314" spans="2:8" x14ac:dyDescent="0.45">
      <c r="B314">
        <v>311</v>
      </c>
      <c r="C314">
        <v>22250</v>
      </c>
      <c r="D314" t="s">
        <v>1722</v>
      </c>
      <c r="E314">
        <v>0</v>
      </c>
      <c r="F314">
        <v>21891</v>
      </c>
      <c r="G314">
        <v>6553</v>
      </c>
      <c r="H314">
        <v>7212</v>
      </c>
    </row>
    <row r="315" spans="2:8" x14ac:dyDescent="0.45">
      <c r="B315">
        <v>312</v>
      </c>
      <c r="C315">
        <v>22524</v>
      </c>
      <c r="D315" t="s">
        <v>1723</v>
      </c>
      <c r="E315">
        <v>0</v>
      </c>
      <c r="F315">
        <v>22197</v>
      </c>
      <c r="G315">
        <v>6553</v>
      </c>
      <c r="H315">
        <v>7212</v>
      </c>
    </row>
    <row r="316" spans="2:8" x14ac:dyDescent="0.45">
      <c r="B316">
        <v>313</v>
      </c>
      <c r="C316">
        <v>22524</v>
      </c>
      <c r="D316" t="s">
        <v>1724</v>
      </c>
      <c r="E316">
        <v>0</v>
      </c>
      <c r="F316">
        <v>22200</v>
      </c>
      <c r="G316">
        <v>6553</v>
      </c>
      <c r="H316">
        <v>7212</v>
      </c>
    </row>
    <row r="317" spans="2:8" x14ac:dyDescent="0.45">
      <c r="B317">
        <v>314</v>
      </c>
      <c r="C317">
        <v>22587</v>
      </c>
      <c r="D317" t="s">
        <v>1725</v>
      </c>
      <c r="E317">
        <v>0</v>
      </c>
      <c r="F317">
        <v>22269</v>
      </c>
      <c r="G317">
        <v>6553</v>
      </c>
      <c r="H317">
        <v>7212</v>
      </c>
    </row>
    <row r="318" spans="2:8" x14ac:dyDescent="0.45">
      <c r="B318">
        <v>315</v>
      </c>
      <c r="C318">
        <v>22641</v>
      </c>
      <c r="D318" t="s">
        <v>1726</v>
      </c>
      <c r="E318">
        <v>0</v>
      </c>
      <c r="F318">
        <v>22332</v>
      </c>
      <c r="G318">
        <v>6553</v>
      </c>
      <c r="H318">
        <v>7212</v>
      </c>
    </row>
    <row r="319" spans="2:8" x14ac:dyDescent="0.45">
      <c r="B319">
        <v>316</v>
      </c>
      <c r="C319">
        <v>22702</v>
      </c>
      <c r="D319" t="s">
        <v>1727</v>
      </c>
      <c r="E319">
        <v>0</v>
      </c>
      <c r="F319">
        <v>22396</v>
      </c>
      <c r="G319">
        <v>6553</v>
      </c>
      <c r="H319">
        <v>7212</v>
      </c>
    </row>
    <row r="320" spans="2:8" x14ac:dyDescent="0.45">
      <c r="B320">
        <v>317</v>
      </c>
      <c r="C320">
        <v>22811</v>
      </c>
      <c r="D320" t="s">
        <v>1728</v>
      </c>
      <c r="E320">
        <v>0</v>
      </c>
      <c r="F320">
        <v>22508</v>
      </c>
      <c r="G320">
        <v>6553</v>
      </c>
      <c r="H320">
        <v>7212</v>
      </c>
    </row>
    <row r="321" spans="2:8" x14ac:dyDescent="0.45">
      <c r="B321">
        <v>318</v>
      </c>
      <c r="C321">
        <v>22855</v>
      </c>
      <c r="D321" t="s">
        <v>1729</v>
      </c>
      <c r="E321">
        <v>0</v>
      </c>
      <c r="F321">
        <v>22554</v>
      </c>
      <c r="G321">
        <v>6553</v>
      </c>
      <c r="H321">
        <v>7212</v>
      </c>
    </row>
    <row r="322" spans="2:8" x14ac:dyDescent="0.45">
      <c r="B322">
        <v>319</v>
      </c>
      <c r="C322">
        <v>22957</v>
      </c>
      <c r="D322" t="s">
        <v>1730</v>
      </c>
      <c r="E322">
        <v>0</v>
      </c>
      <c r="F322">
        <v>22673</v>
      </c>
      <c r="G322">
        <v>6553</v>
      </c>
      <c r="H322">
        <v>7212</v>
      </c>
    </row>
    <row r="323" spans="2:8" x14ac:dyDescent="0.45">
      <c r="B323">
        <v>320</v>
      </c>
      <c r="C323">
        <v>23012</v>
      </c>
      <c r="D323" t="s">
        <v>1731</v>
      </c>
      <c r="E323">
        <v>0</v>
      </c>
      <c r="F323">
        <v>22730</v>
      </c>
      <c r="G323">
        <v>6553</v>
      </c>
      <c r="H323">
        <v>7212</v>
      </c>
    </row>
    <row r="324" spans="2:8" x14ac:dyDescent="0.45">
      <c r="B324">
        <v>322</v>
      </c>
      <c r="C324">
        <v>23121</v>
      </c>
      <c r="D324" t="s">
        <v>1733</v>
      </c>
      <c r="E324">
        <v>0</v>
      </c>
      <c r="F324">
        <v>22851</v>
      </c>
      <c r="G324">
        <v>6553</v>
      </c>
      <c r="H324">
        <v>7212</v>
      </c>
    </row>
    <row r="325" spans="2:8" x14ac:dyDescent="0.45">
      <c r="B325">
        <v>323</v>
      </c>
      <c r="C325">
        <v>23180</v>
      </c>
      <c r="D325" t="s">
        <v>1734</v>
      </c>
      <c r="E325">
        <v>0</v>
      </c>
      <c r="F325">
        <v>22915</v>
      </c>
      <c r="G325">
        <v>6553</v>
      </c>
      <c r="H325">
        <v>7212</v>
      </c>
    </row>
    <row r="326" spans="2:8" x14ac:dyDescent="0.45">
      <c r="B326">
        <v>324</v>
      </c>
      <c r="C326">
        <v>23323</v>
      </c>
      <c r="D326" t="s">
        <v>1735</v>
      </c>
      <c r="E326">
        <v>0</v>
      </c>
      <c r="F326">
        <v>23064</v>
      </c>
      <c r="G326">
        <v>6553</v>
      </c>
      <c r="H326">
        <v>7212</v>
      </c>
    </row>
    <row r="327" spans="2:8" x14ac:dyDescent="0.45">
      <c r="B327">
        <v>325</v>
      </c>
      <c r="C327">
        <v>23377</v>
      </c>
      <c r="D327" t="s">
        <v>1736</v>
      </c>
      <c r="E327">
        <v>0</v>
      </c>
      <c r="F327">
        <v>23119</v>
      </c>
      <c r="G327">
        <v>6553</v>
      </c>
      <c r="H327">
        <v>7212</v>
      </c>
    </row>
    <row r="328" spans="2:8" x14ac:dyDescent="0.45">
      <c r="B328">
        <v>326</v>
      </c>
      <c r="C328">
        <v>23448</v>
      </c>
      <c r="D328" t="s">
        <v>1737</v>
      </c>
      <c r="E328">
        <v>0</v>
      </c>
      <c r="F328">
        <v>23193</v>
      </c>
      <c r="G328">
        <v>6553</v>
      </c>
      <c r="H328">
        <v>7212</v>
      </c>
    </row>
    <row r="329" spans="2:8" x14ac:dyDescent="0.45">
      <c r="B329">
        <v>327</v>
      </c>
      <c r="C329">
        <v>23507</v>
      </c>
      <c r="D329" t="s">
        <v>1738</v>
      </c>
      <c r="E329">
        <v>0</v>
      </c>
      <c r="F329">
        <v>23254</v>
      </c>
      <c r="G329">
        <v>6553</v>
      </c>
      <c r="H329">
        <v>7212</v>
      </c>
    </row>
    <row r="330" spans="2:8" x14ac:dyDescent="0.45">
      <c r="B330">
        <v>328</v>
      </c>
      <c r="C330">
        <v>23575</v>
      </c>
      <c r="D330" t="s">
        <v>1739</v>
      </c>
      <c r="E330">
        <v>0</v>
      </c>
      <c r="F330">
        <v>23330</v>
      </c>
      <c r="G330">
        <v>6553</v>
      </c>
      <c r="H330">
        <v>7212</v>
      </c>
    </row>
    <row r="331" spans="2:8" x14ac:dyDescent="0.45">
      <c r="B331">
        <v>329</v>
      </c>
      <c r="C331">
        <v>23643</v>
      </c>
      <c r="D331" t="s">
        <v>1740</v>
      </c>
      <c r="E331">
        <v>0</v>
      </c>
      <c r="F331">
        <v>23405</v>
      </c>
      <c r="G331">
        <v>6553</v>
      </c>
      <c r="H331">
        <v>7212</v>
      </c>
    </row>
    <row r="332" spans="2:8" x14ac:dyDescent="0.45">
      <c r="B332">
        <v>330</v>
      </c>
      <c r="C332">
        <v>23966</v>
      </c>
      <c r="D332" t="s">
        <v>1741</v>
      </c>
      <c r="E332">
        <v>0</v>
      </c>
      <c r="F332">
        <v>29193</v>
      </c>
      <c r="G332">
        <v>6553</v>
      </c>
      <c r="H332">
        <v>6557</v>
      </c>
    </row>
    <row r="333" spans="2:8" x14ac:dyDescent="0.45">
      <c r="B333">
        <v>331</v>
      </c>
      <c r="C333">
        <v>24048</v>
      </c>
      <c r="D333" t="s">
        <v>1742</v>
      </c>
      <c r="E333">
        <v>0</v>
      </c>
      <c r="F333">
        <v>23831</v>
      </c>
      <c r="G333">
        <v>6553</v>
      </c>
      <c r="H333">
        <v>7212</v>
      </c>
    </row>
    <row r="334" spans="2:8" x14ac:dyDescent="0.45">
      <c r="B334">
        <v>332</v>
      </c>
      <c r="C334">
        <v>24133</v>
      </c>
      <c r="D334" t="s">
        <v>1743</v>
      </c>
      <c r="E334">
        <v>0</v>
      </c>
      <c r="F334">
        <v>23922</v>
      </c>
      <c r="G334">
        <v>6553</v>
      </c>
      <c r="H334">
        <v>7212</v>
      </c>
    </row>
    <row r="335" spans="2:8" x14ac:dyDescent="0.45">
      <c r="B335">
        <v>333</v>
      </c>
      <c r="C335">
        <v>24270</v>
      </c>
      <c r="D335" t="s">
        <v>1744</v>
      </c>
      <c r="E335">
        <v>0</v>
      </c>
      <c r="F335">
        <v>24064</v>
      </c>
      <c r="G335">
        <v>6553</v>
      </c>
      <c r="H335">
        <v>7212</v>
      </c>
    </row>
    <row r="336" spans="2:8" x14ac:dyDescent="0.45">
      <c r="B336">
        <v>334</v>
      </c>
      <c r="C336">
        <v>24270</v>
      </c>
      <c r="D336" t="s">
        <v>1745</v>
      </c>
      <c r="E336">
        <v>0</v>
      </c>
      <c r="F336">
        <v>24064</v>
      </c>
      <c r="G336">
        <v>6553</v>
      </c>
      <c r="H336">
        <v>7212</v>
      </c>
    </row>
    <row r="337" spans="2:8" x14ac:dyDescent="0.45">
      <c r="B337">
        <v>335</v>
      </c>
      <c r="C337">
        <v>24339</v>
      </c>
      <c r="D337" t="s">
        <v>1746</v>
      </c>
      <c r="E337">
        <v>0</v>
      </c>
      <c r="F337">
        <v>24136</v>
      </c>
      <c r="G337">
        <v>6553</v>
      </c>
      <c r="H337">
        <v>7212</v>
      </c>
    </row>
    <row r="338" spans="2:8" x14ac:dyDescent="0.45">
      <c r="B338">
        <v>336</v>
      </c>
      <c r="C338">
        <v>24339</v>
      </c>
      <c r="D338" t="s">
        <v>1747</v>
      </c>
      <c r="E338">
        <v>0</v>
      </c>
      <c r="F338">
        <v>24136</v>
      </c>
      <c r="G338">
        <v>6553</v>
      </c>
      <c r="H338">
        <v>7212</v>
      </c>
    </row>
    <row r="339" spans="2:8" x14ac:dyDescent="0.45">
      <c r="B339">
        <v>337</v>
      </c>
      <c r="C339">
        <v>24339</v>
      </c>
      <c r="D339" t="s">
        <v>1748</v>
      </c>
      <c r="E339">
        <v>0</v>
      </c>
      <c r="F339">
        <v>24136</v>
      </c>
      <c r="G339">
        <v>6553</v>
      </c>
      <c r="H339">
        <v>7212</v>
      </c>
    </row>
    <row r="340" spans="2:8" x14ac:dyDescent="0.45">
      <c r="B340">
        <v>338</v>
      </c>
      <c r="C340">
        <v>24339</v>
      </c>
      <c r="D340" t="s">
        <v>1749</v>
      </c>
      <c r="E340">
        <v>0</v>
      </c>
      <c r="F340">
        <v>24136</v>
      </c>
      <c r="G340">
        <v>6553</v>
      </c>
      <c r="H340">
        <v>7212</v>
      </c>
    </row>
    <row r="341" spans="2:8" x14ac:dyDescent="0.45">
      <c r="B341">
        <v>339</v>
      </c>
      <c r="C341">
        <v>24425</v>
      </c>
      <c r="D341" t="s">
        <v>1750</v>
      </c>
      <c r="E341">
        <v>0</v>
      </c>
      <c r="F341">
        <v>24227</v>
      </c>
      <c r="G341">
        <v>6553</v>
      </c>
      <c r="H341">
        <v>7212</v>
      </c>
    </row>
    <row r="342" spans="2:8" x14ac:dyDescent="0.45">
      <c r="B342">
        <v>340</v>
      </c>
      <c r="C342">
        <v>24425</v>
      </c>
      <c r="D342" t="s">
        <v>1751</v>
      </c>
      <c r="E342">
        <v>0</v>
      </c>
      <c r="F342">
        <v>24227</v>
      </c>
      <c r="G342">
        <v>6553</v>
      </c>
      <c r="H342">
        <v>7212</v>
      </c>
    </row>
    <row r="343" spans="2:8" x14ac:dyDescent="0.45">
      <c r="B343">
        <v>341</v>
      </c>
      <c r="C343">
        <v>24425</v>
      </c>
      <c r="D343" t="s">
        <v>1752</v>
      </c>
      <c r="E343">
        <v>0</v>
      </c>
      <c r="F343">
        <v>24227</v>
      </c>
      <c r="G343">
        <v>6553</v>
      </c>
      <c r="H343">
        <v>7212</v>
      </c>
    </row>
    <row r="344" spans="2:8" x14ac:dyDescent="0.45">
      <c r="B344">
        <v>342</v>
      </c>
      <c r="C344">
        <v>24671</v>
      </c>
      <c r="D344" t="s">
        <v>1753</v>
      </c>
      <c r="E344">
        <v>0</v>
      </c>
      <c r="F344">
        <v>24485</v>
      </c>
      <c r="G344">
        <v>6553</v>
      </c>
      <c r="H344">
        <v>7212</v>
      </c>
    </row>
    <row r="345" spans="2:8" x14ac:dyDescent="0.45">
      <c r="B345">
        <v>343</v>
      </c>
      <c r="C345">
        <v>24671</v>
      </c>
      <c r="D345" t="s">
        <v>1754</v>
      </c>
      <c r="E345">
        <v>0</v>
      </c>
      <c r="F345">
        <v>24485</v>
      </c>
      <c r="G345">
        <v>6553</v>
      </c>
      <c r="H345">
        <v>7212</v>
      </c>
    </row>
    <row r="346" spans="2:8" x14ac:dyDescent="0.45">
      <c r="B346">
        <v>344</v>
      </c>
      <c r="C346">
        <v>24740</v>
      </c>
      <c r="D346" t="s">
        <v>1755</v>
      </c>
      <c r="E346">
        <v>0</v>
      </c>
      <c r="F346">
        <v>24559</v>
      </c>
      <c r="G346">
        <v>6553</v>
      </c>
      <c r="H346">
        <v>7212</v>
      </c>
    </row>
    <row r="347" spans="2:8" x14ac:dyDescent="0.45">
      <c r="B347">
        <v>345</v>
      </c>
      <c r="C347">
        <v>24740</v>
      </c>
      <c r="D347" t="s">
        <v>1756</v>
      </c>
      <c r="E347">
        <v>0</v>
      </c>
      <c r="F347">
        <v>24559</v>
      </c>
      <c r="G347">
        <v>6553</v>
      </c>
      <c r="H347">
        <v>7212</v>
      </c>
    </row>
    <row r="348" spans="2:8" x14ac:dyDescent="0.45">
      <c r="B348">
        <v>346</v>
      </c>
      <c r="C348">
        <v>24804</v>
      </c>
      <c r="D348" t="s">
        <v>1757</v>
      </c>
      <c r="E348">
        <v>0</v>
      </c>
      <c r="F348">
        <v>24624</v>
      </c>
      <c r="G348">
        <v>6553</v>
      </c>
      <c r="H348">
        <v>7212</v>
      </c>
    </row>
    <row r="349" spans="2:8" x14ac:dyDescent="0.45">
      <c r="B349">
        <v>347</v>
      </c>
      <c r="C349">
        <v>24883</v>
      </c>
      <c r="D349" t="s">
        <v>1758</v>
      </c>
      <c r="E349">
        <v>0</v>
      </c>
      <c r="F349">
        <v>24710</v>
      </c>
      <c r="G349">
        <v>6553</v>
      </c>
      <c r="H349">
        <v>7212</v>
      </c>
    </row>
    <row r="350" spans="2:8" x14ac:dyDescent="0.45">
      <c r="B350">
        <v>348</v>
      </c>
      <c r="C350">
        <v>24883</v>
      </c>
      <c r="D350" t="s">
        <v>1759</v>
      </c>
      <c r="E350">
        <v>0</v>
      </c>
      <c r="F350">
        <v>24710</v>
      </c>
      <c r="G350">
        <v>6553</v>
      </c>
      <c r="H350">
        <v>7212</v>
      </c>
    </row>
    <row r="351" spans="2:8" x14ac:dyDescent="0.45">
      <c r="B351">
        <v>349</v>
      </c>
      <c r="C351">
        <v>25022</v>
      </c>
      <c r="D351" t="s">
        <v>1760</v>
      </c>
      <c r="E351">
        <v>0</v>
      </c>
      <c r="F351">
        <v>24856</v>
      </c>
      <c r="G351">
        <v>6553</v>
      </c>
      <c r="H351">
        <v>7212</v>
      </c>
    </row>
    <row r="352" spans="2:8" x14ac:dyDescent="0.45">
      <c r="B352">
        <v>350</v>
      </c>
      <c r="C352">
        <v>25325</v>
      </c>
      <c r="D352" t="s">
        <v>1761</v>
      </c>
      <c r="E352">
        <v>0</v>
      </c>
      <c r="F352">
        <v>25170</v>
      </c>
      <c r="G352">
        <v>6553</v>
      </c>
      <c r="H352">
        <v>7212</v>
      </c>
    </row>
    <row r="353" spans="2:8" x14ac:dyDescent="0.45">
      <c r="B353">
        <v>351</v>
      </c>
      <c r="C353">
        <v>25484</v>
      </c>
      <c r="D353" t="s">
        <v>1762</v>
      </c>
      <c r="E353">
        <v>0</v>
      </c>
      <c r="F353">
        <v>25340</v>
      </c>
      <c r="G353">
        <v>6553</v>
      </c>
      <c r="H353">
        <v>7212</v>
      </c>
    </row>
    <row r="354" spans="2:8" x14ac:dyDescent="0.45">
      <c r="B354">
        <v>352</v>
      </c>
      <c r="C354">
        <v>25557</v>
      </c>
      <c r="D354" t="s">
        <v>1763</v>
      </c>
      <c r="E354">
        <v>0</v>
      </c>
      <c r="F354">
        <v>25419</v>
      </c>
      <c r="G354">
        <v>6553</v>
      </c>
      <c r="H354">
        <v>7212</v>
      </c>
    </row>
    <row r="355" spans="2:8" x14ac:dyDescent="0.45">
      <c r="B355">
        <v>353</v>
      </c>
      <c r="C355">
        <v>25715</v>
      </c>
      <c r="D355" t="s">
        <v>1764</v>
      </c>
      <c r="E355">
        <v>0</v>
      </c>
      <c r="F355">
        <v>25579</v>
      </c>
      <c r="G355">
        <v>6553</v>
      </c>
      <c r="H355">
        <v>7212</v>
      </c>
    </row>
    <row r="356" spans="2:8" x14ac:dyDescent="0.45">
      <c r="B356">
        <v>354</v>
      </c>
      <c r="C356">
        <v>25715</v>
      </c>
      <c r="D356" t="s">
        <v>1765</v>
      </c>
      <c r="E356">
        <v>0</v>
      </c>
      <c r="F356">
        <v>25579</v>
      </c>
      <c r="G356">
        <v>6553</v>
      </c>
      <c r="H356">
        <v>7212</v>
      </c>
    </row>
    <row r="357" spans="2:8" x14ac:dyDescent="0.45">
      <c r="B357">
        <v>355</v>
      </c>
      <c r="C357">
        <v>25797</v>
      </c>
      <c r="D357" t="s">
        <v>1766</v>
      </c>
      <c r="E357">
        <v>0</v>
      </c>
      <c r="F357">
        <v>25662</v>
      </c>
      <c r="G357">
        <v>6553</v>
      </c>
      <c r="H357">
        <v>7212</v>
      </c>
    </row>
    <row r="358" spans="2:8" x14ac:dyDescent="0.45">
      <c r="B358">
        <v>356</v>
      </c>
      <c r="C358">
        <v>25894</v>
      </c>
      <c r="D358" t="s">
        <v>1767</v>
      </c>
      <c r="E358">
        <v>0</v>
      </c>
      <c r="F358">
        <v>25765</v>
      </c>
      <c r="G358">
        <v>6553</v>
      </c>
      <c r="H358">
        <v>7212</v>
      </c>
    </row>
    <row r="359" spans="2:8" x14ac:dyDescent="0.45">
      <c r="B359">
        <v>357</v>
      </c>
      <c r="C359">
        <v>25967</v>
      </c>
      <c r="D359" t="s">
        <v>1768</v>
      </c>
      <c r="E359">
        <v>0</v>
      </c>
      <c r="F359">
        <v>25840</v>
      </c>
      <c r="G359">
        <v>6553</v>
      </c>
      <c r="H359">
        <v>7212</v>
      </c>
    </row>
    <row r="360" spans="2:8" x14ac:dyDescent="0.45">
      <c r="B360">
        <v>358</v>
      </c>
      <c r="C360">
        <v>26048</v>
      </c>
      <c r="D360" t="s">
        <v>1769</v>
      </c>
      <c r="E360">
        <v>0</v>
      </c>
      <c r="F360">
        <v>25926</v>
      </c>
      <c r="G360">
        <v>6553</v>
      </c>
      <c r="H360">
        <v>7212</v>
      </c>
    </row>
    <row r="361" spans="2:8" x14ac:dyDescent="0.45">
      <c r="B361">
        <v>359</v>
      </c>
      <c r="C361">
        <v>26143</v>
      </c>
      <c r="D361" t="s">
        <v>1770</v>
      </c>
      <c r="E361">
        <v>0</v>
      </c>
      <c r="F361">
        <v>26029</v>
      </c>
      <c r="G361">
        <v>6553</v>
      </c>
      <c r="H361">
        <v>7212</v>
      </c>
    </row>
    <row r="362" spans="2:8" x14ac:dyDescent="0.45">
      <c r="B362">
        <v>360</v>
      </c>
      <c r="C362">
        <v>26424</v>
      </c>
      <c r="D362" t="s">
        <v>1771</v>
      </c>
      <c r="E362">
        <v>0</v>
      </c>
      <c r="F362">
        <v>26322</v>
      </c>
      <c r="G362">
        <v>6553</v>
      </c>
      <c r="H362">
        <v>7212</v>
      </c>
    </row>
    <row r="363" spans="2:8" x14ac:dyDescent="0.45">
      <c r="B363">
        <v>361</v>
      </c>
      <c r="C363">
        <v>26503</v>
      </c>
      <c r="D363" t="s">
        <v>1772</v>
      </c>
      <c r="E363">
        <v>0</v>
      </c>
      <c r="F363">
        <v>26406</v>
      </c>
      <c r="G363">
        <v>6553</v>
      </c>
      <c r="H363">
        <v>7212</v>
      </c>
    </row>
    <row r="364" spans="2:8" x14ac:dyDescent="0.45">
      <c r="B364">
        <v>362</v>
      </c>
      <c r="C364">
        <v>26602</v>
      </c>
      <c r="D364" t="s">
        <v>1773</v>
      </c>
      <c r="E364">
        <v>0</v>
      </c>
      <c r="F364">
        <v>26506</v>
      </c>
      <c r="G364">
        <v>6553</v>
      </c>
      <c r="H364">
        <v>7212</v>
      </c>
    </row>
    <row r="365" spans="2:8" x14ac:dyDescent="0.45">
      <c r="B365">
        <v>363</v>
      </c>
      <c r="C365">
        <v>26801</v>
      </c>
      <c r="D365" t="s">
        <v>1774</v>
      </c>
      <c r="E365">
        <v>0</v>
      </c>
      <c r="F365">
        <v>26703</v>
      </c>
      <c r="G365">
        <v>6553</v>
      </c>
      <c r="H365">
        <v>7212</v>
      </c>
    </row>
    <row r="366" spans="2:8" x14ac:dyDescent="0.45">
      <c r="B366">
        <v>364</v>
      </c>
      <c r="C366">
        <v>26801</v>
      </c>
      <c r="D366" t="s">
        <v>1775</v>
      </c>
      <c r="E366">
        <v>0</v>
      </c>
      <c r="F366">
        <v>26703</v>
      </c>
      <c r="G366">
        <v>6553</v>
      </c>
      <c r="H366">
        <v>7212</v>
      </c>
    </row>
    <row r="367" spans="2:8" x14ac:dyDescent="0.45">
      <c r="B367">
        <v>365</v>
      </c>
      <c r="C367">
        <v>26999</v>
      </c>
      <c r="D367" t="s">
        <v>1776</v>
      </c>
      <c r="E367">
        <v>0</v>
      </c>
      <c r="F367">
        <v>26912</v>
      </c>
      <c r="G367">
        <v>6553</v>
      </c>
      <c r="H367">
        <v>7212</v>
      </c>
    </row>
    <row r="368" spans="2:8" x14ac:dyDescent="0.45">
      <c r="B368">
        <v>366</v>
      </c>
      <c r="C368">
        <v>27098</v>
      </c>
      <c r="D368" t="s">
        <v>1777</v>
      </c>
      <c r="E368">
        <v>0</v>
      </c>
      <c r="F368">
        <v>27017</v>
      </c>
      <c r="G368">
        <v>6553</v>
      </c>
      <c r="H368">
        <v>7212</v>
      </c>
    </row>
    <row r="369" spans="2:8" x14ac:dyDescent="0.45">
      <c r="B369">
        <v>367</v>
      </c>
      <c r="C369">
        <v>27182</v>
      </c>
      <c r="D369" t="s">
        <v>1778</v>
      </c>
      <c r="E369">
        <v>0</v>
      </c>
      <c r="F369">
        <v>27102</v>
      </c>
      <c r="G369">
        <v>6553</v>
      </c>
      <c r="H369">
        <v>7212</v>
      </c>
    </row>
    <row r="370" spans="2:8" x14ac:dyDescent="0.45">
      <c r="B370">
        <v>368</v>
      </c>
      <c r="C370">
        <v>27444</v>
      </c>
      <c r="D370" t="s">
        <v>1779</v>
      </c>
      <c r="E370">
        <v>0</v>
      </c>
      <c r="F370">
        <v>27374</v>
      </c>
      <c r="G370">
        <v>6553</v>
      </c>
      <c r="H370">
        <v>7212</v>
      </c>
    </row>
    <row r="371" spans="2:8" x14ac:dyDescent="0.45">
      <c r="B371">
        <v>369</v>
      </c>
      <c r="C371">
        <v>27444</v>
      </c>
      <c r="D371" t="s">
        <v>1780</v>
      </c>
      <c r="E371">
        <v>0</v>
      </c>
      <c r="F371">
        <v>27374</v>
      </c>
      <c r="G371">
        <v>6553</v>
      </c>
      <c r="H371">
        <v>7212</v>
      </c>
    </row>
    <row r="372" spans="2:8" x14ac:dyDescent="0.45">
      <c r="B372">
        <v>370</v>
      </c>
      <c r="C372">
        <v>27544</v>
      </c>
      <c r="D372" t="s">
        <v>1781</v>
      </c>
      <c r="E372">
        <v>0</v>
      </c>
      <c r="F372">
        <v>27473</v>
      </c>
      <c r="G372">
        <v>6553</v>
      </c>
      <c r="H372">
        <v>7212</v>
      </c>
    </row>
    <row r="373" spans="2:8" x14ac:dyDescent="0.45">
      <c r="B373">
        <v>371</v>
      </c>
      <c r="C373">
        <v>27544</v>
      </c>
      <c r="D373" t="s">
        <v>1782</v>
      </c>
      <c r="E373">
        <v>0</v>
      </c>
      <c r="F373">
        <v>27473</v>
      </c>
      <c r="G373">
        <v>6553</v>
      </c>
      <c r="H373">
        <v>7212</v>
      </c>
    </row>
    <row r="374" spans="2:8" x14ac:dyDescent="0.45">
      <c r="B374">
        <v>372</v>
      </c>
      <c r="C374">
        <v>27544</v>
      </c>
      <c r="D374" t="s">
        <v>1783</v>
      </c>
      <c r="E374">
        <v>0</v>
      </c>
      <c r="F374">
        <v>27473</v>
      </c>
      <c r="G374">
        <v>6553</v>
      </c>
      <c r="H374">
        <v>7212</v>
      </c>
    </row>
    <row r="375" spans="2:8" x14ac:dyDescent="0.45">
      <c r="B375">
        <v>373</v>
      </c>
      <c r="C375">
        <v>27890</v>
      </c>
      <c r="D375" t="s">
        <v>1784</v>
      </c>
      <c r="E375">
        <v>0</v>
      </c>
      <c r="F375">
        <v>27828</v>
      </c>
      <c r="G375">
        <v>6553</v>
      </c>
      <c r="H375">
        <v>7212</v>
      </c>
    </row>
    <row r="376" spans="2:8" x14ac:dyDescent="0.45">
      <c r="B376">
        <v>374</v>
      </c>
      <c r="C376">
        <v>28475</v>
      </c>
      <c r="D376" t="s">
        <v>1785</v>
      </c>
      <c r="E376">
        <v>0</v>
      </c>
      <c r="F376">
        <v>28424</v>
      </c>
      <c r="G376">
        <v>6553</v>
      </c>
      <c r="H376">
        <v>7212</v>
      </c>
    </row>
    <row r="377" spans="2:8" x14ac:dyDescent="0.45">
      <c r="B377">
        <v>375</v>
      </c>
      <c r="C377">
        <v>28580</v>
      </c>
      <c r="D377" t="s">
        <v>1786</v>
      </c>
      <c r="E377">
        <v>0</v>
      </c>
      <c r="F377">
        <v>28532</v>
      </c>
      <c r="G377">
        <v>6553</v>
      </c>
      <c r="H377">
        <v>7212</v>
      </c>
    </row>
    <row r="378" spans="2:8" x14ac:dyDescent="0.45">
      <c r="B378">
        <v>376</v>
      </c>
      <c r="C378">
        <v>29120</v>
      </c>
      <c r="D378" t="s">
        <v>1787</v>
      </c>
      <c r="E378">
        <v>0</v>
      </c>
      <c r="F378">
        <v>29084</v>
      </c>
      <c r="G378">
        <v>6553</v>
      </c>
      <c r="H378">
        <v>7212</v>
      </c>
    </row>
    <row r="379" spans="2:8" x14ac:dyDescent="0.45">
      <c r="B379">
        <v>377</v>
      </c>
      <c r="C379">
        <v>29228</v>
      </c>
      <c r="D379" t="s">
        <v>1788</v>
      </c>
      <c r="E379">
        <v>0</v>
      </c>
      <c r="F379">
        <v>29193</v>
      </c>
      <c r="G379">
        <v>6553</v>
      </c>
      <c r="H379">
        <v>7212</v>
      </c>
    </row>
    <row r="380" spans="2:8" x14ac:dyDescent="0.45">
      <c r="B380">
        <v>378</v>
      </c>
      <c r="C380">
        <v>29228</v>
      </c>
      <c r="D380" t="s">
        <v>1789</v>
      </c>
      <c r="E380">
        <v>0</v>
      </c>
      <c r="F380">
        <v>29193</v>
      </c>
      <c r="G380">
        <v>6553</v>
      </c>
      <c r="H380">
        <v>7212</v>
      </c>
    </row>
    <row r="381" spans="2:8" x14ac:dyDescent="0.45">
      <c r="B381">
        <v>379</v>
      </c>
      <c r="C381">
        <v>29531</v>
      </c>
      <c r="D381" t="s">
        <v>1790</v>
      </c>
      <c r="E381">
        <v>0</v>
      </c>
      <c r="F381">
        <v>29502</v>
      </c>
      <c r="G381">
        <v>6553</v>
      </c>
      <c r="H381">
        <v>7212</v>
      </c>
    </row>
    <row r="382" spans="2:8" x14ac:dyDescent="0.45">
      <c r="B382">
        <v>380</v>
      </c>
      <c r="C382">
        <v>29740</v>
      </c>
      <c r="D382" t="s">
        <v>1791</v>
      </c>
      <c r="E382">
        <v>0</v>
      </c>
      <c r="F382">
        <v>29717</v>
      </c>
      <c r="G382">
        <v>6553</v>
      </c>
      <c r="H382">
        <v>7212</v>
      </c>
    </row>
    <row r="383" spans="2:8" x14ac:dyDescent="0.45">
      <c r="B383">
        <v>381</v>
      </c>
      <c r="C383">
        <v>29851</v>
      </c>
      <c r="D383" t="s">
        <v>1792</v>
      </c>
      <c r="E383">
        <v>0</v>
      </c>
      <c r="F383">
        <v>29831</v>
      </c>
      <c r="G383">
        <v>6553</v>
      </c>
      <c r="H383">
        <v>7212</v>
      </c>
    </row>
    <row r="384" spans="2:8" x14ac:dyDescent="0.45">
      <c r="B384">
        <v>382</v>
      </c>
      <c r="C384">
        <v>30247</v>
      </c>
      <c r="D384" t="s">
        <v>1793</v>
      </c>
      <c r="E384">
        <v>0</v>
      </c>
      <c r="F384">
        <v>30232</v>
      </c>
      <c r="G384">
        <v>6553</v>
      </c>
      <c r="H384">
        <v>7212</v>
      </c>
    </row>
    <row r="385" spans="2:8" x14ac:dyDescent="0.45">
      <c r="B385">
        <v>383</v>
      </c>
      <c r="C385">
        <v>30837</v>
      </c>
      <c r="D385" t="s">
        <v>1794</v>
      </c>
      <c r="E385">
        <v>0</v>
      </c>
      <c r="F385">
        <v>30827</v>
      </c>
      <c r="G385">
        <v>6553</v>
      </c>
      <c r="H385">
        <v>7212</v>
      </c>
    </row>
    <row r="386" spans="2:8" x14ac:dyDescent="0.45">
      <c r="B386">
        <v>384</v>
      </c>
      <c r="C386">
        <v>30935</v>
      </c>
      <c r="D386" t="s">
        <v>1795</v>
      </c>
      <c r="E386">
        <v>0</v>
      </c>
      <c r="F386">
        <v>30926</v>
      </c>
      <c r="G386">
        <v>6553</v>
      </c>
      <c r="H386">
        <v>7212</v>
      </c>
    </row>
    <row r="387" spans="2:8" x14ac:dyDescent="0.45">
      <c r="B387">
        <v>385</v>
      </c>
      <c r="C387">
        <v>31727</v>
      </c>
      <c r="D387" t="s">
        <v>1796</v>
      </c>
      <c r="E387">
        <v>0</v>
      </c>
      <c r="F387">
        <v>31723</v>
      </c>
      <c r="G387">
        <v>6553</v>
      </c>
      <c r="H387">
        <v>7212</v>
      </c>
    </row>
    <row r="388" spans="2:8" x14ac:dyDescent="0.45">
      <c r="B388">
        <v>386</v>
      </c>
      <c r="C388">
        <v>31872</v>
      </c>
      <c r="D388" t="s">
        <v>1797</v>
      </c>
      <c r="E388">
        <v>0</v>
      </c>
      <c r="F388">
        <v>31869</v>
      </c>
      <c r="G388">
        <v>6553</v>
      </c>
      <c r="H388">
        <v>7212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1"/>
  <sheetViews>
    <sheetView topLeftCell="A43" workbookViewId="0">
      <selection activeCell="B2" sqref="B2:B101"/>
    </sheetView>
  </sheetViews>
  <sheetFormatPr defaultRowHeight="14.25" x14ac:dyDescent="0.45"/>
  <cols>
    <col min="3" max="4" width="24.59765625" customWidth="1"/>
    <col min="6" max="6" width="9.796875" customWidth="1"/>
    <col min="7" max="7" width="9.9296875" customWidth="1"/>
    <col min="8" max="8" width="9.73046875" customWidth="1"/>
    <col min="9" max="9" width="15.9296875" customWidth="1"/>
    <col min="10" max="10" width="20.265625" customWidth="1"/>
  </cols>
  <sheetData>
    <row r="1" spans="1:10" x14ac:dyDescent="0.45">
      <c r="A1" t="s">
        <v>851</v>
      </c>
      <c r="B1" t="s">
        <v>479</v>
      </c>
      <c r="C1" t="s">
        <v>480</v>
      </c>
      <c r="D1" t="s">
        <v>481</v>
      </c>
      <c r="E1" t="s">
        <v>482</v>
      </c>
      <c r="F1" t="s">
        <v>483</v>
      </c>
      <c r="G1" t="s">
        <v>484</v>
      </c>
      <c r="H1" t="s">
        <v>485</v>
      </c>
      <c r="I1" t="s">
        <v>486</v>
      </c>
      <c r="J1" t="s">
        <v>487</v>
      </c>
    </row>
    <row r="2" spans="1:10" x14ac:dyDescent="0.45">
      <c r="A2">
        <v>1</v>
      </c>
      <c r="B2">
        <v>1</v>
      </c>
      <c r="C2" t="s">
        <v>0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  <c r="J2" t="s">
        <v>7</v>
      </c>
    </row>
    <row r="3" spans="1:10" x14ac:dyDescent="0.45">
      <c r="A3">
        <v>2</v>
      </c>
      <c r="B3">
        <v>2</v>
      </c>
      <c r="C3" t="s">
        <v>8</v>
      </c>
      <c r="D3" t="s">
        <v>9</v>
      </c>
      <c r="E3" t="s">
        <v>10</v>
      </c>
      <c r="F3" t="s">
        <v>11</v>
      </c>
      <c r="G3" t="s">
        <v>5</v>
      </c>
      <c r="H3" t="s">
        <v>12</v>
      </c>
      <c r="I3" t="s">
        <v>13</v>
      </c>
      <c r="J3" t="s">
        <v>14</v>
      </c>
    </row>
    <row r="4" spans="1:10" x14ac:dyDescent="0.45">
      <c r="A4">
        <v>3</v>
      </c>
      <c r="B4">
        <f>3</f>
        <v>3</v>
      </c>
      <c r="C4" t="s">
        <v>15</v>
      </c>
      <c r="D4" t="s">
        <v>1</v>
      </c>
      <c r="E4" t="s">
        <v>11</v>
      </c>
      <c r="F4" t="s">
        <v>16</v>
      </c>
      <c r="G4" t="s">
        <v>17</v>
      </c>
      <c r="H4" t="s">
        <v>18</v>
      </c>
      <c r="I4" t="s">
        <v>19</v>
      </c>
      <c r="J4" t="s">
        <v>20</v>
      </c>
    </row>
    <row r="5" spans="1:10" x14ac:dyDescent="0.45">
      <c r="A5">
        <v>4</v>
      </c>
      <c r="B5">
        <f>3</f>
        <v>3</v>
      </c>
      <c r="C5" t="s">
        <v>21</v>
      </c>
      <c r="D5" t="s">
        <v>9</v>
      </c>
      <c r="E5" t="s">
        <v>11</v>
      </c>
      <c r="F5" t="s">
        <v>22</v>
      </c>
      <c r="G5" t="s">
        <v>23</v>
      </c>
      <c r="H5" t="s">
        <v>24</v>
      </c>
      <c r="I5" t="s">
        <v>25</v>
      </c>
      <c r="J5" t="s">
        <v>26</v>
      </c>
    </row>
    <row r="6" spans="1:10" x14ac:dyDescent="0.45">
      <c r="A6">
        <v>5</v>
      </c>
      <c r="B6">
        <v>5</v>
      </c>
      <c r="C6" t="s">
        <v>27</v>
      </c>
      <c r="D6" t="s">
        <v>9</v>
      </c>
      <c r="E6" t="s">
        <v>22</v>
      </c>
      <c r="F6" t="s">
        <v>28</v>
      </c>
      <c r="G6" t="s">
        <v>29</v>
      </c>
      <c r="H6" t="s">
        <v>24</v>
      </c>
      <c r="I6" t="s">
        <v>16</v>
      </c>
      <c r="J6" t="s">
        <v>30</v>
      </c>
    </row>
    <row r="7" spans="1:10" x14ac:dyDescent="0.45">
      <c r="A7">
        <v>6</v>
      </c>
      <c r="B7">
        <v>6</v>
      </c>
      <c r="C7" t="s">
        <v>31</v>
      </c>
      <c r="D7" t="s">
        <v>9</v>
      </c>
      <c r="E7" t="s">
        <v>32</v>
      </c>
      <c r="F7" t="s">
        <v>16</v>
      </c>
      <c r="G7" t="s">
        <v>18</v>
      </c>
      <c r="H7" t="s">
        <v>33</v>
      </c>
      <c r="I7" t="s">
        <v>34</v>
      </c>
      <c r="J7" t="s">
        <v>35</v>
      </c>
    </row>
    <row r="8" spans="1:10" x14ac:dyDescent="0.45">
      <c r="A8">
        <v>7</v>
      </c>
      <c r="B8">
        <v>7</v>
      </c>
      <c r="C8" t="s">
        <v>36</v>
      </c>
      <c r="D8" t="s">
        <v>9</v>
      </c>
      <c r="E8" t="s">
        <v>37</v>
      </c>
      <c r="F8" t="s">
        <v>38</v>
      </c>
      <c r="G8" t="s">
        <v>39</v>
      </c>
      <c r="H8" t="s">
        <v>40</v>
      </c>
      <c r="I8" t="s">
        <v>41</v>
      </c>
      <c r="J8" t="s">
        <v>42</v>
      </c>
    </row>
    <row r="9" spans="1:10" x14ac:dyDescent="0.45">
      <c r="A9">
        <v>8</v>
      </c>
      <c r="B9">
        <v>8</v>
      </c>
      <c r="C9" t="s">
        <v>43</v>
      </c>
      <c r="D9" t="s">
        <v>9</v>
      </c>
      <c r="E9" t="s">
        <v>44</v>
      </c>
      <c r="F9" t="s">
        <v>45</v>
      </c>
      <c r="G9" t="s">
        <v>20</v>
      </c>
      <c r="H9" t="s">
        <v>5</v>
      </c>
      <c r="I9" t="s">
        <v>46</v>
      </c>
      <c r="J9" t="s">
        <v>47</v>
      </c>
    </row>
    <row r="10" spans="1:10" x14ac:dyDescent="0.45">
      <c r="A10">
        <v>9</v>
      </c>
      <c r="B10">
        <v>9</v>
      </c>
      <c r="C10" t="s">
        <v>48</v>
      </c>
      <c r="D10" t="s">
        <v>9</v>
      </c>
      <c r="E10" t="s">
        <v>49</v>
      </c>
      <c r="F10" t="s">
        <v>50</v>
      </c>
      <c r="G10" t="s">
        <v>51</v>
      </c>
      <c r="H10" t="s">
        <v>18</v>
      </c>
      <c r="I10" t="s">
        <v>52</v>
      </c>
      <c r="J10" t="s">
        <v>53</v>
      </c>
    </row>
    <row r="11" spans="1:10" x14ac:dyDescent="0.45">
      <c r="A11">
        <v>10</v>
      </c>
      <c r="B11">
        <v>10</v>
      </c>
      <c r="C11" t="s">
        <v>54</v>
      </c>
      <c r="D11" t="s">
        <v>1</v>
      </c>
      <c r="E11" t="s">
        <v>55</v>
      </c>
      <c r="F11" t="s">
        <v>56</v>
      </c>
      <c r="G11" t="s">
        <v>57</v>
      </c>
      <c r="H11" t="s">
        <v>58</v>
      </c>
      <c r="I11" t="s">
        <v>59</v>
      </c>
      <c r="J11" t="s">
        <v>60</v>
      </c>
    </row>
    <row r="12" spans="1:10" x14ac:dyDescent="0.45">
      <c r="A12">
        <v>11</v>
      </c>
      <c r="B12">
        <f>11</f>
        <v>11</v>
      </c>
      <c r="C12" t="s">
        <v>61</v>
      </c>
      <c r="D12" t="s">
        <v>9</v>
      </c>
      <c r="E12" t="s">
        <v>62</v>
      </c>
      <c r="F12" t="s">
        <v>62</v>
      </c>
      <c r="G12" t="s">
        <v>63</v>
      </c>
      <c r="H12" t="s">
        <v>64</v>
      </c>
      <c r="I12" t="s">
        <v>65</v>
      </c>
      <c r="J12" t="s">
        <v>66</v>
      </c>
    </row>
    <row r="13" spans="1:10" x14ac:dyDescent="0.45">
      <c r="A13">
        <v>12</v>
      </c>
      <c r="B13">
        <f>11</f>
        <v>11</v>
      </c>
      <c r="C13" t="s">
        <v>67</v>
      </c>
      <c r="D13" t="s">
        <v>68</v>
      </c>
      <c r="E13" t="s">
        <v>62</v>
      </c>
      <c r="F13" t="s">
        <v>69</v>
      </c>
      <c r="G13" t="s">
        <v>70</v>
      </c>
      <c r="H13" t="s">
        <v>28</v>
      </c>
      <c r="I13" t="s">
        <v>71</v>
      </c>
      <c r="J13" t="s">
        <v>72</v>
      </c>
    </row>
    <row r="14" spans="1:10" x14ac:dyDescent="0.45">
      <c r="A14">
        <v>13</v>
      </c>
      <c r="B14">
        <v>13</v>
      </c>
      <c r="C14" t="s">
        <v>73</v>
      </c>
      <c r="D14" t="s">
        <v>9</v>
      </c>
      <c r="E14" t="s">
        <v>74</v>
      </c>
      <c r="F14" t="s">
        <v>75</v>
      </c>
      <c r="G14" t="s">
        <v>76</v>
      </c>
      <c r="H14" t="s">
        <v>72</v>
      </c>
      <c r="I14" t="s">
        <v>77</v>
      </c>
      <c r="J14" t="s">
        <v>78</v>
      </c>
    </row>
    <row r="15" spans="1:10" x14ac:dyDescent="0.45">
      <c r="A15">
        <v>14</v>
      </c>
      <c r="B15">
        <v>14</v>
      </c>
      <c r="C15" t="s">
        <v>79</v>
      </c>
      <c r="D15" t="s">
        <v>9</v>
      </c>
      <c r="E15" t="s">
        <v>76</v>
      </c>
      <c r="F15" t="s">
        <v>80</v>
      </c>
      <c r="G15" t="s">
        <v>76</v>
      </c>
      <c r="H15" t="s">
        <v>18</v>
      </c>
      <c r="I15" t="s">
        <v>81</v>
      </c>
      <c r="J15" t="s">
        <v>82</v>
      </c>
    </row>
    <row r="16" spans="1:10" x14ac:dyDescent="0.45">
      <c r="A16">
        <v>15</v>
      </c>
      <c r="B16">
        <v>15</v>
      </c>
      <c r="C16" t="s">
        <v>83</v>
      </c>
      <c r="D16" t="s">
        <v>9</v>
      </c>
      <c r="E16" t="s">
        <v>84</v>
      </c>
      <c r="F16" t="s">
        <v>85</v>
      </c>
      <c r="G16" t="s">
        <v>86</v>
      </c>
      <c r="H16" t="s">
        <v>18</v>
      </c>
      <c r="I16" t="s">
        <v>87</v>
      </c>
      <c r="J16" t="s">
        <v>88</v>
      </c>
    </row>
    <row r="17" spans="1:10" x14ac:dyDescent="0.45">
      <c r="A17">
        <v>16</v>
      </c>
      <c r="B17">
        <v>16</v>
      </c>
      <c r="C17" t="s">
        <v>89</v>
      </c>
      <c r="D17" t="s">
        <v>90</v>
      </c>
      <c r="E17" t="s">
        <v>91</v>
      </c>
      <c r="F17" t="s">
        <v>92</v>
      </c>
      <c r="G17" t="s">
        <v>93</v>
      </c>
      <c r="H17" t="s">
        <v>94</v>
      </c>
      <c r="I17" t="s">
        <v>95</v>
      </c>
      <c r="J17" t="s">
        <v>96</v>
      </c>
    </row>
    <row r="18" spans="1:10" x14ac:dyDescent="0.45">
      <c r="A18">
        <v>17</v>
      </c>
      <c r="B18">
        <v>17</v>
      </c>
      <c r="C18" t="s">
        <v>97</v>
      </c>
      <c r="D18" t="s">
        <v>90</v>
      </c>
      <c r="E18" t="s">
        <v>98</v>
      </c>
      <c r="F18" t="s">
        <v>99</v>
      </c>
      <c r="G18" t="s">
        <v>23</v>
      </c>
      <c r="H18" t="s">
        <v>100</v>
      </c>
      <c r="I18" t="s">
        <v>101</v>
      </c>
      <c r="J18" t="s">
        <v>25</v>
      </c>
    </row>
    <row r="19" spans="1:10" x14ac:dyDescent="0.45">
      <c r="A19">
        <v>18</v>
      </c>
      <c r="B19">
        <v>18</v>
      </c>
      <c r="C19" t="s">
        <v>102</v>
      </c>
      <c r="D19" t="s">
        <v>103</v>
      </c>
      <c r="E19" t="s">
        <v>104</v>
      </c>
      <c r="F19" t="s">
        <v>105</v>
      </c>
      <c r="G19" t="s">
        <v>106</v>
      </c>
      <c r="H19" t="s">
        <v>107</v>
      </c>
      <c r="I19" t="s">
        <v>108</v>
      </c>
      <c r="J19" t="s">
        <v>109</v>
      </c>
    </row>
    <row r="20" spans="1:10" x14ac:dyDescent="0.45">
      <c r="A20">
        <v>19</v>
      </c>
      <c r="B20">
        <v>19</v>
      </c>
      <c r="C20" t="s">
        <v>110</v>
      </c>
      <c r="D20" t="s">
        <v>111</v>
      </c>
      <c r="E20" t="s">
        <v>112</v>
      </c>
      <c r="F20" t="s">
        <v>113</v>
      </c>
      <c r="G20" t="s">
        <v>114</v>
      </c>
      <c r="H20" t="s">
        <v>115</v>
      </c>
      <c r="I20" t="s">
        <v>116</v>
      </c>
      <c r="J20" t="s">
        <v>117</v>
      </c>
    </row>
    <row r="21" spans="1:10" x14ac:dyDescent="0.45">
      <c r="A21">
        <v>20</v>
      </c>
      <c r="B21">
        <v>20</v>
      </c>
      <c r="C21" t="s">
        <v>118</v>
      </c>
      <c r="D21" t="s">
        <v>9</v>
      </c>
      <c r="E21" t="s">
        <v>119</v>
      </c>
      <c r="F21" t="s">
        <v>120</v>
      </c>
      <c r="G21" t="s">
        <v>121</v>
      </c>
      <c r="H21" t="s">
        <v>33</v>
      </c>
      <c r="I21" t="s">
        <v>122</v>
      </c>
      <c r="J21" t="s">
        <v>123</v>
      </c>
    </row>
    <row r="22" spans="1:10" x14ac:dyDescent="0.45">
      <c r="A22">
        <v>21</v>
      </c>
      <c r="B22">
        <v>21</v>
      </c>
      <c r="C22" t="s">
        <v>124</v>
      </c>
      <c r="D22" t="s">
        <v>9</v>
      </c>
      <c r="E22" t="s">
        <v>125</v>
      </c>
      <c r="F22" t="s">
        <v>100</v>
      </c>
      <c r="G22" t="s">
        <v>74</v>
      </c>
      <c r="H22" t="s">
        <v>70</v>
      </c>
      <c r="I22" t="s">
        <v>126</v>
      </c>
      <c r="J22" t="s">
        <v>25</v>
      </c>
    </row>
    <row r="23" spans="1:10" x14ac:dyDescent="0.45">
      <c r="A23">
        <v>22</v>
      </c>
      <c r="B23">
        <v>22</v>
      </c>
      <c r="C23" t="s">
        <v>127</v>
      </c>
      <c r="D23" t="s">
        <v>1</v>
      </c>
      <c r="E23" t="s">
        <v>128</v>
      </c>
      <c r="F23" t="s">
        <v>129</v>
      </c>
      <c r="G23" t="s">
        <v>130</v>
      </c>
      <c r="H23" t="s">
        <v>131</v>
      </c>
      <c r="I23" t="s">
        <v>132</v>
      </c>
      <c r="J23" t="s">
        <v>23</v>
      </c>
    </row>
    <row r="24" spans="1:10" x14ac:dyDescent="0.45">
      <c r="A24">
        <v>23</v>
      </c>
      <c r="B24">
        <v>23</v>
      </c>
      <c r="C24" t="s">
        <v>133</v>
      </c>
      <c r="D24" t="s">
        <v>9</v>
      </c>
      <c r="E24" t="s">
        <v>134</v>
      </c>
      <c r="F24" t="s">
        <v>135</v>
      </c>
      <c r="G24" t="s">
        <v>136</v>
      </c>
      <c r="H24" t="s">
        <v>29</v>
      </c>
      <c r="I24" t="s">
        <v>137</v>
      </c>
      <c r="J24" t="s">
        <v>138</v>
      </c>
    </row>
    <row r="25" spans="1:10" x14ac:dyDescent="0.45">
      <c r="A25">
        <v>24</v>
      </c>
      <c r="B25">
        <v>24</v>
      </c>
      <c r="C25" t="s">
        <v>139</v>
      </c>
      <c r="D25" t="s">
        <v>9</v>
      </c>
      <c r="E25" t="s">
        <v>140</v>
      </c>
      <c r="F25" t="s">
        <v>78</v>
      </c>
      <c r="G25" t="s">
        <v>141</v>
      </c>
      <c r="H25" t="s">
        <v>142</v>
      </c>
      <c r="I25" t="s">
        <v>143</v>
      </c>
      <c r="J25" t="s">
        <v>144</v>
      </c>
    </row>
    <row r="26" spans="1:10" x14ac:dyDescent="0.45">
      <c r="A26">
        <v>25</v>
      </c>
      <c r="B26">
        <v>25</v>
      </c>
      <c r="C26" t="s">
        <v>145</v>
      </c>
      <c r="D26" t="s">
        <v>9</v>
      </c>
      <c r="E26" t="s">
        <v>69</v>
      </c>
      <c r="F26" t="s">
        <v>146</v>
      </c>
      <c r="G26" t="s">
        <v>147</v>
      </c>
      <c r="H26" t="s">
        <v>148</v>
      </c>
      <c r="I26" t="s">
        <v>149</v>
      </c>
      <c r="J26" t="s">
        <v>150</v>
      </c>
    </row>
    <row r="27" spans="1:10" x14ac:dyDescent="0.45">
      <c r="A27">
        <v>26</v>
      </c>
      <c r="B27">
        <f>26</f>
        <v>26</v>
      </c>
      <c r="C27" t="s">
        <v>151</v>
      </c>
      <c r="D27" t="s">
        <v>9</v>
      </c>
      <c r="E27" t="s">
        <v>152</v>
      </c>
      <c r="F27" t="s">
        <v>153</v>
      </c>
      <c r="G27" t="s">
        <v>154</v>
      </c>
      <c r="H27" t="s">
        <v>60</v>
      </c>
      <c r="I27" t="s">
        <v>155</v>
      </c>
      <c r="J27" t="s">
        <v>156</v>
      </c>
    </row>
    <row r="28" spans="1:10" x14ac:dyDescent="0.45">
      <c r="A28">
        <v>27</v>
      </c>
      <c r="B28">
        <f>26</f>
        <v>26</v>
      </c>
      <c r="C28" t="s">
        <v>157</v>
      </c>
      <c r="D28" t="s">
        <v>9</v>
      </c>
      <c r="E28" t="s">
        <v>152</v>
      </c>
      <c r="F28" t="s">
        <v>158</v>
      </c>
      <c r="G28" t="s">
        <v>56</v>
      </c>
      <c r="H28" t="s">
        <v>159</v>
      </c>
      <c r="I28" t="s">
        <v>160</v>
      </c>
      <c r="J28" t="s">
        <v>161</v>
      </c>
    </row>
    <row r="29" spans="1:10" x14ac:dyDescent="0.45">
      <c r="A29">
        <v>28</v>
      </c>
      <c r="B29">
        <v>28</v>
      </c>
      <c r="C29" t="s">
        <v>162</v>
      </c>
      <c r="D29" t="s">
        <v>9</v>
      </c>
      <c r="E29" t="s">
        <v>163</v>
      </c>
      <c r="F29" t="s">
        <v>164</v>
      </c>
      <c r="G29" t="s">
        <v>165</v>
      </c>
      <c r="H29" t="s">
        <v>166</v>
      </c>
      <c r="I29" t="s">
        <v>167</v>
      </c>
      <c r="J29" t="s">
        <v>168</v>
      </c>
    </row>
    <row r="30" spans="1:10" x14ac:dyDescent="0.45">
      <c r="A30">
        <v>29</v>
      </c>
      <c r="B30">
        <v>29</v>
      </c>
      <c r="C30" t="s">
        <v>169</v>
      </c>
      <c r="D30" t="s">
        <v>1</v>
      </c>
      <c r="E30" t="s">
        <v>26</v>
      </c>
      <c r="F30" t="s">
        <v>170</v>
      </c>
      <c r="G30" t="s">
        <v>129</v>
      </c>
      <c r="H30" t="s">
        <v>64</v>
      </c>
      <c r="I30" t="s">
        <v>171</v>
      </c>
      <c r="J30" t="s">
        <v>172</v>
      </c>
    </row>
    <row r="31" spans="1:10" x14ac:dyDescent="0.45">
      <c r="A31">
        <v>30</v>
      </c>
      <c r="B31">
        <v>30</v>
      </c>
      <c r="C31" t="s">
        <v>173</v>
      </c>
      <c r="D31" t="s">
        <v>174</v>
      </c>
      <c r="E31" t="s">
        <v>135</v>
      </c>
      <c r="F31" t="s">
        <v>175</v>
      </c>
      <c r="G31" t="s">
        <v>176</v>
      </c>
      <c r="H31" t="s">
        <v>177</v>
      </c>
      <c r="I31" t="s">
        <v>95</v>
      </c>
      <c r="J31" t="s">
        <v>178</v>
      </c>
    </row>
    <row r="32" spans="1:10" x14ac:dyDescent="0.45">
      <c r="A32">
        <v>31</v>
      </c>
      <c r="B32">
        <v>31</v>
      </c>
      <c r="C32" t="s">
        <v>179</v>
      </c>
      <c r="D32" t="s">
        <v>180</v>
      </c>
      <c r="E32" t="s">
        <v>181</v>
      </c>
      <c r="F32" t="s">
        <v>182</v>
      </c>
      <c r="G32" t="s">
        <v>183</v>
      </c>
      <c r="H32" t="s">
        <v>37</v>
      </c>
      <c r="I32" t="s">
        <v>184</v>
      </c>
      <c r="J32" t="s">
        <v>166</v>
      </c>
    </row>
    <row r="33" spans="1:10" x14ac:dyDescent="0.45">
      <c r="A33">
        <v>32</v>
      </c>
      <c r="B33">
        <v>32</v>
      </c>
      <c r="C33" t="s">
        <v>185</v>
      </c>
      <c r="D33" t="s">
        <v>9</v>
      </c>
      <c r="E33" t="s">
        <v>146</v>
      </c>
      <c r="F33" t="s">
        <v>186</v>
      </c>
      <c r="G33" t="s">
        <v>187</v>
      </c>
      <c r="H33" t="s">
        <v>188</v>
      </c>
      <c r="I33" t="s">
        <v>114</v>
      </c>
      <c r="J33" t="s">
        <v>189</v>
      </c>
    </row>
    <row r="34" spans="1:10" x14ac:dyDescent="0.45">
      <c r="A34">
        <v>33</v>
      </c>
      <c r="B34">
        <v>33</v>
      </c>
      <c r="C34" t="s">
        <v>190</v>
      </c>
      <c r="D34" t="s">
        <v>174</v>
      </c>
      <c r="E34" t="s">
        <v>178</v>
      </c>
      <c r="F34" t="s">
        <v>191</v>
      </c>
      <c r="G34" t="s">
        <v>192</v>
      </c>
      <c r="H34" t="s">
        <v>104</v>
      </c>
      <c r="I34" t="s">
        <v>95</v>
      </c>
      <c r="J34" t="s">
        <v>193</v>
      </c>
    </row>
    <row r="35" spans="1:10" x14ac:dyDescent="0.45">
      <c r="A35">
        <v>34</v>
      </c>
      <c r="B35">
        <v>34</v>
      </c>
      <c r="C35" t="s">
        <v>194</v>
      </c>
      <c r="D35" t="s">
        <v>195</v>
      </c>
      <c r="E35" t="s">
        <v>196</v>
      </c>
      <c r="F35" t="s">
        <v>197</v>
      </c>
      <c r="G35" t="s">
        <v>198</v>
      </c>
      <c r="H35" t="s">
        <v>125</v>
      </c>
      <c r="I35" t="s">
        <v>146</v>
      </c>
      <c r="J35" t="s">
        <v>29</v>
      </c>
    </row>
    <row r="36" spans="1:10" x14ac:dyDescent="0.45">
      <c r="A36">
        <v>35</v>
      </c>
      <c r="B36">
        <v>35</v>
      </c>
      <c r="C36" t="s">
        <v>199</v>
      </c>
      <c r="D36" t="s">
        <v>1</v>
      </c>
      <c r="E36" t="s">
        <v>200</v>
      </c>
      <c r="F36" t="s">
        <v>201</v>
      </c>
      <c r="G36" t="s">
        <v>202</v>
      </c>
      <c r="H36" t="s">
        <v>188</v>
      </c>
      <c r="I36" t="s">
        <v>203</v>
      </c>
      <c r="J36" t="s">
        <v>204</v>
      </c>
    </row>
    <row r="37" spans="1:10" x14ac:dyDescent="0.45">
      <c r="A37">
        <v>36</v>
      </c>
      <c r="B37">
        <v>36</v>
      </c>
      <c r="C37" t="s">
        <v>205</v>
      </c>
      <c r="D37" t="s">
        <v>111</v>
      </c>
      <c r="E37" t="s">
        <v>206</v>
      </c>
      <c r="F37" t="s">
        <v>207</v>
      </c>
      <c r="G37" t="s">
        <v>208</v>
      </c>
      <c r="H37" t="s">
        <v>209</v>
      </c>
      <c r="I37" t="s">
        <v>177</v>
      </c>
      <c r="J37" t="s">
        <v>210</v>
      </c>
    </row>
    <row r="38" spans="1:10" x14ac:dyDescent="0.45">
      <c r="A38">
        <v>37</v>
      </c>
      <c r="B38">
        <v>37</v>
      </c>
      <c r="C38" t="s">
        <v>211</v>
      </c>
      <c r="D38" t="s">
        <v>1</v>
      </c>
      <c r="E38" t="s">
        <v>212</v>
      </c>
      <c r="F38" t="s">
        <v>138</v>
      </c>
      <c r="G38" t="s">
        <v>213</v>
      </c>
      <c r="H38" t="s">
        <v>214</v>
      </c>
      <c r="I38" t="s">
        <v>215</v>
      </c>
      <c r="J38" t="s">
        <v>107</v>
      </c>
    </row>
    <row r="39" spans="1:10" x14ac:dyDescent="0.45">
      <c r="A39">
        <v>38</v>
      </c>
      <c r="B39">
        <v>38</v>
      </c>
      <c r="C39" t="s">
        <v>216</v>
      </c>
      <c r="D39" t="s">
        <v>9</v>
      </c>
      <c r="E39" t="s">
        <v>217</v>
      </c>
      <c r="F39" t="s">
        <v>186</v>
      </c>
      <c r="G39" t="s">
        <v>198</v>
      </c>
      <c r="H39" t="s">
        <v>49</v>
      </c>
      <c r="I39" t="s">
        <v>218</v>
      </c>
      <c r="J39" t="s">
        <v>219</v>
      </c>
    </row>
    <row r="40" spans="1:10" x14ac:dyDescent="0.45">
      <c r="A40">
        <v>39</v>
      </c>
      <c r="B40">
        <v>39</v>
      </c>
      <c r="C40" t="s">
        <v>220</v>
      </c>
      <c r="D40" t="s">
        <v>221</v>
      </c>
      <c r="E40" t="s">
        <v>198</v>
      </c>
      <c r="F40" t="s">
        <v>98</v>
      </c>
      <c r="G40" t="s">
        <v>49</v>
      </c>
      <c r="H40" t="s">
        <v>222</v>
      </c>
      <c r="I40" t="s">
        <v>223</v>
      </c>
      <c r="J40" t="s">
        <v>224</v>
      </c>
    </row>
    <row r="41" spans="1:10" x14ac:dyDescent="0.45">
      <c r="A41">
        <v>40</v>
      </c>
      <c r="B41">
        <v>40</v>
      </c>
      <c r="C41" t="s">
        <v>225</v>
      </c>
      <c r="D41" t="s">
        <v>103</v>
      </c>
      <c r="E41" t="s">
        <v>226</v>
      </c>
      <c r="F41" t="s">
        <v>227</v>
      </c>
      <c r="G41" t="s">
        <v>228</v>
      </c>
      <c r="H41" t="s">
        <v>76</v>
      </c>
      <c r="I41" t="s">
        <v>229</v>
      </c>
      <c r="J41" t="s">
        <v>11</v>
      </c>
    </row>
    <row r="42" spans="1:10" x14ac:dyDescent="0.45">
      <c r="A42">
        <v>41</v>
      </c>
      <c r="B42">
        <v>41</v>
      </c>
      <c r="C42" t="s">
        <v>230</v>
      </c>
      <c r="D42" t="s">
        <v>68</v>
      </c>
      <c r="E42" t="s">
        <v>231</v>
      </c>
      <c r="F42" t="s">
        <v>182</v>
      </c>
      <c r="G42" t="s">
        <v>232</v>
      </c>
      <c r="H42" t="s">
        <v>177</v>
      </c>
      <c r="I42" t="s">
        <v>153</v>
      </c>
      <c r="J42" t="s">
        <v>233</v>
      </c>
    </row>
    <row r="43" spans="1:10" x14ac:dyDescent="0.45">
      <c r="A43">
        <v>42</v>
      </c>
      <c r="B43">
        <v>42</v>
      </c>
      <c r="C43" t="s">
        <v>234</v>
      </c>
      <c r="D43" t="s">
        <v>235</v>
      </c>
      <c r="E43" t="s">
        <v>236</v>
      </c>
      <c r="F43" t="s">
        <v>237</v>
      </c>
      <c r="G43" t="s">
        <v>6</v>
      </c>
      <c r="H43" t="s">
        <v>223</v>
      </c>
      <c r="I43" t="s">
        <v>238</v>
      </c>
      <c r="J43" t="s">
        <v>46</v>
      </c>
    </row>
    <row r="44" spans="1:10" x14ac:dyDescent="0.45">
      <c r="A44">
        <v>43</v>
      </c>
      <c r="B44">
        <v>43</v>
      </c>
      <c r="C44" t="s">
        <v>239</v>
      </c>
      <c r="D44" t="s">
        <v>174</v>
      </c>
      <c r="E44" t="s">
        <v>183</v>
      </c>
      <c r="F44" t="s">
        <v>240</v>
      </c>
      <c r="G44" t="s">
        <v>241</v>
      </c>
      <c r="H44" t="s">
        <v>242</v>
      </c>
      <c r="I44" t="s">
        <v>243</v>
      </c>
      <c r="J44" t="s">
        <v>244</v>
      </c>
    </row>
    <row r="45" spans="1:10" x14ac:dyDescent="0.45">
      <c r="A45">
        <v>44</v>
      </c>
      <c r="B45">
        <v>44</v>
      </c>
      <c r="C45" t="s">
        <v>245</v>
      </c>
      <c r="D45" t="s">
        <v>195</v>
      </c>
      <c r="E45" t="s">
        <v>246</v>
      </c>
      <c r="F45" t="s">
        <v>247</v>
      </c>
      <c r="G45" t="s">
        <v>248</v>
      </c>
      <c r="H45" t="s">
        <v>55</v>
      </c>
      <c r="I45" t="s">
        <v>47</v>
      </c>
      <c r="J45" t="s">
        <v>249</v>
      </c>
    </row>
    <row r="46" spans="1:10" x14ac:dyDescent="0.45">
      <c r="A46">
        <v>45</v>
      </c>
      <c r="B46">
        <v>45</v>
      </c>
      <c r="C46" t="s">
        <v>250</v>
      </c>
      <c r="D46" t="s">
        <v>180</v>
      </c>
      <c r="E46" t="s">
        <v>251</v>
      </c>
      <c r="F46" t="s">
        <v>71</v>
      </c>
      <c r="G46" t="s">
        <v>252</v>
      </c>
      <c r="H46" t="s">
        <v>148</v>
      </c>
      <c r="I46" t="s">
        <v>207</v>
      </c>
      <c r="J46" t="s">
        <v>99</v>
      </c>
    </row>
    <row r="47" spans="1:10" x14ac:dyDescent="0.45">
      <c r="A47">
        <v>46</v>
      </c>
      <c r="B47">
        <v>46</v>
      </c>
      <c r="C47" t="s">
        <v>253</v>
      </c>
      <c r="D47" t="s">
        <v>103</v>
      </c>
      <c r="E47" t="s">
        <v>254</v>
      </c>
      <c r="F47" t="s">
        <v>255</v>
      </c>
      <c r="G47" t="s">
        <v>256</v>
      </c>
      <c r="H47" t="s">
        <v>257</v>
      </c>
      <c r="I47" t="s">
        <v>258</v>
      </c>
      <c r="J47" t="s">
        <v>249</v>
      </c>
    </row>
    <row r="48" spans="1:10" x14ac:dyDescent="0.45">
      <c r="A48">
        <v>47</v>
      </c>
      <c r="B48">
        <v>47</v>
      </c>
      <c r="C48" t="s">
        <v>259</v>
      </c>
      <c r="D48" t="s">
        <v>260</v>
      </c>
      <c r="E48" t="s">
        <v>202</v>
      </c>
      <c r="F48" t="s">
        <v>261</v>
      </c>
      <c r="G48" t="s">
        <v>262</v>
      </c>
      <c r="H48" t="s">
        <v>263</v>
      </c>
      <c r="I48" t="s">
        <v>264</v>
      </c>
      <c r="J48" t="s">
        <v>265</v>
      </c>
    </row>
    <row r="49" spans="1:10" x14ac:dyDescent="0.45">
      <c r="A49">
        <v>48</v>
      </c>
      <c r="B49">
        <v>48</v>
      </c>
      <c r="C49" t="s">
        <v>266</v>
      </c>
      <c r="D49" t="s">
        <v>9</v>
      </c>
      <c r="E49" t="s">
        <v>267</v>
      </c>
      <c r="F49" t="s">
        <v>197</v>
      </c>
      <c r="G49" t="s">
        <v>268</v>
      </c>
      <c r="H49" t="s">
        <v>146</v>
      </c>
      <c r="I49" t="s">
        <v>269</v>
      </c>
      <c r="J49" t="s">
        <v>77</v>
      </c>
    </row>
    <row r="50" spans="1:10" x14ac:dyDescent="0.45">
      <c r="A50">
        <v>49</v>
      </c>
      <c r="B50">
        <v>49</v>
      </c>
      <c r="C50" t="s">
        <v>270</v>
      </c>
      <c r="D50" t="s">
        <v>271</v>
      </c>
      <c r="E50" t="s">
        <v>256</v>
      </c>
      <c r="F50" t="s">
        <v>272</v>
      </c>
      <c r="G50" t="s">
        <v>273</v>
      </c>
      <c r="H50" t="s">
        <v>117</v>
      </c>
      <c r="I50" t="s">
        <v>274</v>
      </c>
      <c r="J50" t="s">
        <v>275</v>
      </c>
    </row>
    <row r="51" spans="1:10" x14ac:dyDescent="0.45">
      <c r="A51">
        <v>50</v>
      </c>
      <c r="B51">
        <v>50</v>
      </c>
      <c r="C51" t="s">
        <v>276</v>
      </c>
      <c r="D51" t="s">
        <v>9</v>
      </c>
      <c r="E51" t="s">
        <v>277</v>
      </c>
      <c r="F51" t="s">
        <v>278</v>
      </c>
      <c r="G51" t="s">
        <v>228</v>
      </c>
      <c r="H51" t="s">
        <v>279</v>
      </c>
      <c r="I51" t="s">
        <v>280</v>
      </c>
      <c r="J51" t="s">
        <v>281</v>
      </c>
    </row>
    <row r="52" spans="1:10" x14ac:dyDescent="0.45">
      <c r="A52">
        <v>51</v>
      </c>
      <c r="B52">
        <v>51</v>
      </c>
      <c r="C52" t="s">
        <v>282</v>
      </c>
      <c r="D52" t="s">
        <v>90</v>
      </c>
      <c r="E52" t="s">
        <v>283</v>
      </c>
      <c r="F52" t="s">
        <v>284</v>
      </c>
      <c r="G52" t="s">
        <v>81</v>
      </c>
      <c r="H52" t="s">
        <v>129</v>
      </c>
      <c r="I52" t="s">
        <v>105</v>
      </c>
      <c r="J52" t="s">
        <v>285</v>
      </c>
    </row>
    <row r="53" spans="1:10" x14ac:dyDescent="0.45">
      <c r="A53">
        <v>52</v>
      </c>
      <c r="B53">
        <v>52</v>
      </c>
      <c r="C53" t="s">
        <v>286</v>
      </c>
      <c r="D53" t="s">
        <v>90</v>
      </c>
      <c r="E53" t="s">
        <v>244</v>
      </c>
      <c r="F53" t="s">
        <v>88</v>
      </c>
      <c r="G53" t="s">
        <v>134</v>
      </c>
      <c r="H53" t="s">
        <v>287</v>
      </c>
      <c r="I53" t="s">
        <v>95</v>
      </c>
      <c r="J53" t="s">
        <v>288</v>
      </c>
    </row>
    <row r="54" spans="1:10" x14ac:dyDescent="0.45">
      <c r="A54">
        <v>53</v>
      </c>
      <c r="B54">
        <v>53</v>
      </c>
      <c r="C54" t="s">
        <v>289</v>
      </c>
      <c r="D54" t="s">
        <v>195</v>
      </c>
      <c r="E54" t="s">
        <v>290</v>
      </c>
      <c r="F54" t="s">
        <v>291</v>
      </c>
      <c r="G54" t="s">
        <v>292</v>
      </c>
      <c r="H54" t="s">
        <v>293</v>
      </c>
      <c r="I54" t="s">
        <v>294</v>
      </c>
      <c r="J54" t="s">
        <v>295</v>
      </c>
    </row>
    <row r="55" spans="1:10" x14ac:dyDescent="0.45">
      <c r="A55">
        <v>54</v>
      </c>
      <c r="B55">
        <f>54</f>
        <v>54</v>
      </c>
      <c r="C55" t="s">
        <v>296</v>
      </c>
      <c r="D55" t="s">
        <v>1</v>
      </c>
      <c r="E55" t="s">
        <v>53</v>
      </c>
      <c r="F55" t="s">
        <v>297</v>
      </c>
      <c r="G55" t="s">
        <v>298</v>
      </c>
      <c r="H55" t="s">
        <v>299</v>
      </c>
      <c r="I55" t="s">
        <v>300</v>
      </c>
      <c r="J55" t="s">
        <v>51</v>
      </c>
    </row>
    <row r="56" spans="1:10" x14ac:dyDescent="0.45">
      <c r="A56">
        <v>55</v>
      </c>
      <c r="B56">
        <f>54</f>
        <v>54</v>
      </c>
      <c r="C56" t="s">
        <v>301</v>
      </c>
      <c r="D56" t="s">
        <v>195</v>
      </c>
      <c r="E56" t="s">
        <v>53</v>
      </c>
      <c r="F56" t="s">
        <v>302</v>
      </c>
      <c r="G56" t="s">
        <v>303</v>
      </c>
      <c r="H56" t="s">
        <v>304</v>
      </c>
      <c r="I56" t="s">
        <v>251</v>
      </c>
      <c r="J56" t="s">
        <v>305</v>
      </c>
    </row>
    <row r="57" spans="1:10" x14ac:dyDescent="0.45">
      <c r="A57">
        <v>56</v>
      </c>
      <c r="B57">
        <v>56</v>
      </c>
      <c r="C57" t="s">
        <v>306</v>
      </c>
      <c r="D57" t="s">
        <v>307</v>
      </c>
      <c r="E57" t="s">
        <v>308</v>
      </c>
      <c r="F57" t="s">
        <v>309</v>
      </c>
      <c r="G57" t="s">
        <v>147</v>
      </c>
      <c r="H57" t="s">
        <v>310</v>
      </c>
      <c r="I57" t="s">
        <v>311</v>
      </c>
      <c r="J57" t="s">
        <v>312</v>
      </c>
    </row>
    <row r="58" spans="1:10" x14ac:dyDescent="0.45">
      <c r="A58">
        <v>57</v>
      </c>
      <c r="B58">
        <v>57</v>
      </c>
      <c r="C58" t="s">
        <v>313</v>
      </c>
      <c r="D58" t="s">
        <v>9</v>
      </c>
      <c r="E58" t="s">
        <v>314</v>
      </c>
      <c r="F58" t="s">
        <v>315</v>
      </c>
      <c r="G58" t="s">
        <v>316</v>
      </c>
      <c r="H58" t="s">
        <v>188</v>
      </c>
      <c r="I58" t="s">
        <v>317</v>
      </c>
      <c r="J58" t="s">
        <v>318</v>
      </c>
    </row>
    <row r="59" spans="1:10" x14ac:dyDescent="0.45">
      <c r="A59">
        <v>58</v>
      </c>
      <c r="B59">
        <v>58</v>
      </c>
      <c r="C59" t="s">
        <v>319</v>
      </c>
      <c r="D59" t="s">
        <v>180</v>
      </c>
      <c r="E59" t="s">
        <v>193</v>
      </c>
      <c r="F59" t="s">
        <v>320</v>
      </c>
      <c r="G59" t="s">
        <v>321</v>
      </c>
      <c r="H59" t="s">
        <v>63</v>
      </c>
      <c r="I59" t="s">
        <v>142</v>
      </c>
      <c r="J59" t="s">
        <v>72</v>
      </c>
    </row>
    <row r="60" spans="1:10" x14ac:dyDescent="0.45">
      <c r="A60">
        <v>59</v>
      </c>
      <c r="B60">
        <v>59</v>
      </c>
      <c r="C60" t="s">
        <v>322</v>
      </c>
      <c r="D60" t="s">
        <v>323</v>
      </c>
      <c r="E60" t="s">
        <v>324</v>
      </c>
      <c r="F60" t="s">
        <v>325</v>
      </c>
      <c r="G60" t="s">
        <v>186</v>
      </c>
      <c r="H60" t="s">
        <v>295</v>
      </c>
      <c r="I60" t="s">
        <v>95</v>
      </c>
      <c r="J60" t="s">
        <v>76</v>
      </c>
    </row>
    <row r="61" spans="1:10" x14ac:dyDescent="0.45">
      <c r="A61">
        <v>60</v>
      </c>
      <c r="B61">
        <v>60</v>
      </c>
      <c r="C61" t="s">
        <v>326</v>
      </c>
      <c r="D61" t="s">
        <v>323</v>
      </c>
      <c r="E61" t="s">
        <v>327</v>
      </c>
      <c r="F61" t="s">
        <v>328</v>
      </c>
      <c r="G61" t="s">
        <v>329</v>
      </c>
      <c r="H61" t="s">
        <v>106</v>
      </c>
      <c r="I61" t="s">
        <v>330</v>
      </c>
      <c r="J61" t="s">
        <v>331</v>
      </c>
    </row>
    <row r="62" spans="1:10" x14ac:dyDescent="0.45">
      <c r="A62">
        <v>61</v>
      </c>
      <c r="B62">
        <v>61</v>
      </c>
      <c r="C62" t="s">
        <v>332</v>
      </c>
      <c r="D62" t="s">
        <v>9</v>
      </c>
      <c r="E62" t="s">
        <v>333</v>
      </c>
      <c r="F62" t="s">
        <v>334</v>
      </c>
      <c r="G62" t="s">
        <v>201</v>
      </c>
      <c r="H62" t="s">
        <v>87</v>
      </c>
      <c r="I62" t="s">
        <v>335</v>
      </c>
      <c r="J62" t="s">
        <v>336</v>
      </c>
    </row>
    <row r="63" spans="1:10" x14ac:dyDescent="0.45">
      <c r="A63">
        <v>62</v>
      </c>
      <c r="B63">
        <v>62</v>
      </c>
      <c r="C63" t="s">
        <v>337</v>
      </c>
      <c r="D63" t="s">
        <v>195</v>
      </c>
      <c r="E63" t="s">
        <v>338</v>
      </c>
      <c r="F63" t="s">
        <v>280</v>
      </c>
      <c r="G63" t="s">
        <v>339</v>
      </c>
      <c r="H63" t="s">
        <v>165</v>
      </c>
      <c r="I63" t="s">
        <v>203</v>
      </c>
      <c r="J63" t="s">
        <v>242</v>
      </c>
    </row>
    <row r="64" spans="1:10" x14ac:dyDescent="0.45">
      <c r="A64">
        <v>63</v>
      </c>
      <c r="B64">
        <v>63</v>
      </c>
      <c r="C64" t="s">
        <v>340</v>
      </c>
      <c r="D64" t="s">
        <v>9</v>
      </c>
      <c r="E64" t="s">
        <v>341</v>
      </c>
      <c r="F64" t="s">
        <v>237</v>
      </c>
      <c r="G64" t="s">
        <v>342</v>
      </c>
      <c r="H64" t="s">
        <v>343</v>
      </c>
      <c r="I64" t="s">
        <v>344</v>
      </c>
      <c r="J64" t="s">
        <v>248</v>
      </c>
    </row>
    <row r="65" spans="1:10" x14ac:dyDescent="0.45">
      <c r="A65">
        <v>64</v>
      </c>
      <c r="B65">
        <v>64</v>
      </c>
      <c r="C65" t="s">
        <v>345</v>
      </c>
      <c r="D65" t="s">
        <v>9</v>
      </c>
      <c r="E65" t="s">
        <v>346</v>
      </c>
      <c r="F65" t="s">
        <v>143</v>
      </c>
      <c r="G65" t="s">
        <v>241</v>
      </c>
      <c r="H65" t="s">
        <v>7</v>
      </c>
      <c r="I65" t="s">
        <v>168</v>
      </c>
      <c r="J65" t="s">
        <v>217</v>
      </c>
    </row>
    <row r="66" spans="1:10" x14ac:dyDescent="0.45">
      <c r="A66">
        <v>65</v>
      </c>
      <c r="B66">
        <v>65</v>
      </c>
      <c r="C66" t="s">
        <v>347</v>
      </c>
      <c r="D66" t="s">
        <v>9</v>
      </c>
      <c r="E66" t="s">
        <v>348</v>
      </c>
      <c r="F66" t="s">
        <v>349</v>
      </c>
      <c r="G66" t="s">
        <v>350</v>
      </c>
      <c r="H66" t="s">
        <v>55</v>
      </c>
      <c r="I66" t="s">
        <v>351</v>
      </c>
      <c r="J66" t="s">
        <v>298</v>
      </c>
    </row>
    <row r="67" spans="1:10" x14ac:dyDescent="0.45">
      <c r="A67">
        <v>66</v>
      </c>
      <c r="B67">
        <v>66</v>
      </c>
      <c r="C67" t="s">
        <v>352</v>
      </c>
      <c r="D67" t="s">
        <v>323</v>
      </c>
      <c r="E67" t="s">
        <v>261</v>
      </c>
      <c r="F67" t="s">
        <v>353</v>
      </c>
      <c r="G67" t="s">
        <v>41</v>
      </c>
      <c r="H67" t="s">
        <v>354</v>
      </c>
      <c r="I67" t="s">
        <v>267</v>
      </c>
      <c r="J67" t="s">
        <v>264</v>
      </c>
    </row>
    <row r="68" spans="1:10" x14ac:dyDescent="0.45">
      <c r="A68">
        <v>67</v>
      </c>
      <c r="B68">
        <v>67</v>
      </c>
      <c r="C68" t="s">
        <v>355</v>
      </c>
      <c r="D68" t="s">
        <v>90</v>
      </c>
      <c r="E68" t="s">
        <v>356</v>
      </c>
      <c r="F68" t="s">
        <v>191</v>
      </c>
      <c r="G68" t="s">
        <v>357</v>
      </c>
      <c r="H68" t="s">
        <v>358</v>
      </c>
      <c r="I68" t="s">
        <v>95</v>
      </c>
      <c r="J68" t="s">
        <v>359</v>
      </c>
    </row>
    <row r="69" spans="1:10" x14ac:dyDescent="0.45">
      <c r="A69">
        <v>68</v>
      </c>
      <c r="B69">
        <v>68</v>
      </c>
      <c r="C69" t="s">
        <v>360</v>
      </c>
      <c r="D69" t="s">
        <v>221</v>
      </c>
      <c r="E69" t="s">
        <v>150</v>
      </c>
      <c r="F69" t="s">
        <v>361</v>
      </c>
      <c r="G69" t="s">
        <v>362</v>
      </c>
      <c r="H69" t="s">
        <v>363</v>
      </c>
      <c r="I69" t="s">
        <v>364</v>
      </c>
      <c r="J69" t="s">
        <v>365</v>
      </c>
    </row>
    <row r="70" spans="1:10" x14ac:dyDescent="0.45">
      <c r="A70">
        <v>69</v>
      </c>
      <c r="B70">
        <v>69</v>
      </c>
      <c r="C70" t="s">
        <v>366</v>
      </c>
      <c r="D70" t="s">
        <v>9</v>
      </c>
      <c r="E70" t="s">
        <v>189</v>
      </c>
      <c r="F70" t="s">
        <v>349</v>
      </c>
      <c r="G70" t="s">
        <v>237</v>
      </c>
      <c r="H70" t="s">
        <v>106</v>
      </c>
      <c r="I70" t="s">
        <v>367</v>
      </c>
      <c r="J70" t="s">
        <v>368</v>
      </c>
    </row>
    <row r="71" spans="1:10" x14ac:dyDescent="0.45">
      <c r="A71">
        <v>70</v>
      </c>
      <c r="B71">
        <v>70</v>
      </c>
      <c r="C71" t="s">
        <v>369</v>
      </c>
      <c r="D71" t="s">
        <v>323</v>
      </c>
      <c r="E71" t="s">
        <v>370</v>
      </c>
      <c r="F71" t="s">
        <v>126</v>
      </c>
      <c r="G71" t="s">
        <v>113</v>
      </c>
      <c r="H71" t="s">
        <v>71</v>
      </c>
      <c r="I71" t="s">
        <v>371</v>
      </c>
      <c r="J71" t="s">
        <v>22</v>
      </c>
    </row>
    <row r="72" spans="1:10" x14ac:dyDescent="0.45">
      <c r="A72">
        <v>71</v>
      </c>
      <c r="B72">
        <f>71</f>
        <v>71</v>
      </c>
      <c r="C72" t="s">
        <v>372</v>
      </c>
      <c r="D72" t="s">
        <v>9</v>
      </c>
      <c r="E72" t="s">
        <v>373</v>
      </c>
      <c r="F72" t="s">
        <v>291</v>
      </c>
      <c r="G72" t="s">
        <v>374</v>
      </c>
      <c r="H72" t="s">
        <v>375</v>
      </c>
      <c r="I72" t="s">
        <v>376</v>
      </c>
      <c r="J72" t="s">
        <v>377</v>
      </c>
    </row>
    <row r="73" spans="1:10" x14ac:dyDescent="0.45">
      <c r="A73">
        <v>72</v>
      </c>
      <c r="B73">
        <f>71</f>
        <v>71</v>
      </c>
      <c r="C73" t="s">
        <v>378</v>
      </c>
      <c r="D73" t="s">
        <v>195</v>
      </c>
      <c r="E73" t="s">
        <v>373</v>
      </c>
      <c r="F73" t="s">
        <v>272</v>
      </c>
      <c r="G73" t="s">
        <v>379</v>
      </c>
      <c r="H73" t="s">
        <v>119</v>
      </c>
      <c r="I73" t="s">
        <v>380</v>
      </c>
      <c r="J73" t="s">
        <v>214</v>
      </c>
    </row>
    <row r="74" spans="1:10" x14ac:dyDescent="0.45">
      <c r="A74">
        <v>73</v>
      </c>
      <c r="B74">
        <v>73</v>
      </c>
      <c r="C74" t="s">
        <v>381</v>
      </c>
      <c r="D74" t="s">
        <v>174</v>
      </c>
      <c r="E74" t="s">
        <v>240</v>
      </c>
      <c r="F74" t="s">
        <v>382</v>
      </c>
      <c r="G74" t="s">
        <v>383</v>
      </c>
      <c r="H74" t="s">
        <v>384</v>
      </c>
      <c r="I74" t="s">
        <v>112</v>
      </c>
      <c r="J74" t="s">
        <v>333</v>
      </c>
    </row>
    <row r="75" spans="1:10" x14ac:dyDescent="0.45">
      <c r="A75">
        <v>74</v>
      </c>
      <c r="B75">
        <v>74</v>
      </c>
      <c r="C75" t="s">
        <v>385</v>
      </c>
      <c r="D75" t="s">
        <v>90</v>
      </c>
      <c r="E75" t="s">
        <v>197</v>
      </c>
      <c r="F75" t="s">
        <v>25</v>
      </c>
      <c r="G75" t="s">
        <v>218</v>
      </c>
      <c r="H75" t="s">
        <v>264</v>
      </c>
      <c r="I75" t="s">
        <v>386</v>
      </c>
      <c r="J75" t="s">
        <v>387</v>
      </c>
    </row>
    <row r="76" spans="1:10" x14ac:dyDescent="0.45">
      <c r="A76">
        <v>75</v>
      </c>
      <c r="B76">
        <v>75</v>
      </c>
      <c r="C76" t="s">
        <v>388</v>
      </c>
      <c r="D76" t="s">
        <v>323</v>
      </c>
      <c r="E76" t="s">
        <v>389</v>
      </c>
      <c r="F76" t="s">
        <v>390</v>
      </c>
      <c r="G76" t="s">
        <v>391</v>
      </c>
      <c r="H76" t="s">
        <v>55</v>
      </c>
      <c r="I76" t="s">
        <v>81</v>
      </c>
      <c r="J76" t="s">
        <v>34</v>
      </c>
    </row>
    <row r="77" spans="1:10" x14ac:dyDescent="0.45">
      <c r="A77">
        <v>76</v>
      </c>
      <c r="B77">
        <v>76</v>
      </c>
      <c r="C77" t="s">
        <v>392</v>
      </c>
      <c r="D77" t="s">
        <v>1</v>
      </c>
      <c r="E77" t="s">
        <v>292</v>
      </c>
      <c r="F77" t="s">
        <v>351</v>
      </c>
      <c r="G77" t="s">
        <v>393</v>
      </c>
      <c r="H77" t="s">
        <v>394</v>
      </c>
      <c r="I77" t="s">
        <v>258</v>
      </c>
      <c r="J77" t="s">
        <v>62</v>
      </c>
    </row>
    <row r="78" spans="1:10" x14ac:dyDescent="0.45">
      <c r="A78">
        <v>77</v>
      </c>
      <c r="B78">
        <v>77</v>
      </c>
      <c r="C78" t="s">
        <v>395</v>
      </c>
      <c r="D78" t="s">
        <v>323</v>
      </c>
      <c r="E78" t="s">
        <v>274</v>
      </c>
      <c r="F78" t="s">
        <v>396</v>
      </c>
      <c r="G78" t="s">
        <v>397</v>
      </c>
      <c r="H78" t="s">
        <v>398</v>
      </c>
      <c r="I78" t="s">
        <v>346</v>
      </c>
      <c r="J78" t="s">
        <v>130</v>
      </c>
    </row>
    <row r="79" spans="1:10" x14ac:dyDescent="0.45">
      <c r="A79">
        <v>78</v>
      </c>
      <c r="B79">
        <v>78</v>
      </c>
      <c r="C79" t="s">
        <v>399</v>
      </c>
      <c r="D79" t="s">
        <v>307</v>
      </c>
      <c r="E79" t="s">
        <v>342</v>
      </c>
      <c r="F79" t="s">
        <v>156</v>
      </c>
      <c r="G79" t="s">
        <v>400</v>
      </c>
      <c r="H79" t="s">
        <v>401</v>
      </c>
      <c r="I79" t="s">
        <v>11</v>
      </c>
      <c r="J79" t="s">
        <v>402</v>
      </c>
    </row>
    <row r="80" spans="1:10" x14ac:dyDescent="0.45">
      <c r="A80">
        <v>79</v>
      </c>
      <c r="B80">
        <v>79</v>
      </c>
      <c r="C80" t="s">
        <v>403</v>
      </c>
      <c r="D80" t="s">
        <v>180</v>
      </c>
      <c r="E80" t="s">
        <v>303</v>
      </c>
      <c r="F80" t="s">
        <v>404</v>
      </c>
      <c r="G80" t="s">
        <v>405</v>
      </c>
      <c r="H80" t="s">
        <v>223</v>
      </c>
      <c r="I80" t="s">
        <v>406</v>
      </c>
      <c r="J80" t="s">
        <v>407</v>
      </c>
    </row>
    <row r="81" spans="1:10" x14ac:dyDescent="0.45">
      <c r="A81">
        <v>80</v>
      </c>
      <c r="B81">
        <v>80</v>
      </c>
      <c r="C81" t="s">
        <v>408</v>
      </c>
      <c r="D81" t="s">
        <v>323</v>
      </c>
      <c r="E81" t="s">
        <v>409</v>
      </c>
      <c r="F81" t="s">
        <v>410</v>
      </c>
      <c r="G81" t="s">
        <v>411</v>
      </c>
      <c r="H81" t="s">
        <v>172</v>
      </c>
      <c r="I81" t="s">
        <v>397</v>
      </c>
      <c r="J81" t="s">
        <v>109</v>
      </c>
    </row>
    <row r="82" spans="1:10" x14ac:dyDescent="0.45">
      <c r="A82">
        <v>81</v>
      </c>
      <c r="B82">
        <v>81</v>
      </c>
      <c r="C82" t="s">
        <v>412</v>
      </c>
      <c r="D82" t="s">
        <v>9</v>
      </c>
      <c r="E82" t="s">
        <v>108</v>
      </c>
      <c r="F82" t="s">
        <v>237</v>
      </c>
      <c r="G82" t="s">
        <v>227</v>
      </c>
      <c r="H82" t="s">
        <v>413</v>
      </c>
      <c r="I82" t="s">
        <v>414</v>
      </c>
      <c r="J82" t="s">
        <v>415</v>
      </c>
    </row>
    <row r="83" spans="1:10" x14ac:dyDescent="0.45">
      <c r="A83">
        <v>82</v>
      </c>
      <c r="B83">
        <f>82</f>
        <v>82</v>
      </c>
      <c r="C83" t="s">
        <v>416</v>
      </c>
      <c r="D83" t="s">
        <v>9</v>
      </c>
      <c r="E83" t="s">
        <v>417</v>
      </c>
      <c r="F83" t="s">
        <v>418</v>
      </c>
      <c r="G83" t="s">
        <v>367</v>
      </c>
      <c r="H83" t="s">
        <v>233</v>
      </c>
      <c r="I83" t="s">
        <v>419</v>
      </c>
      <c r="J83" t="s">
        <v>59</v>
      </c>
    </row>
    <row r="84" spans="1:10" x14ac:dyDescent="0.45">
      <c r="A84">
        <v>83</v>
      </c>
      <c r="B84">
        <f>82</f>
        <v>82</v>
      </c>
      <c r="C84" t="s">
        <v>420</v>
      </c>
      <c r="D84" t="s">
        <v>1</v>
      </c>
      <c r="E84" t="s">
        <v>417</v>
      </c>
      <c r="F84" t="s">
        <v>224</v>
      </c>
      <c r="G84" t="s">
        <v>421</v>
      </c>
      <c r="H84" t="s">
        <v>422</v>
      </c>
      <c r="I84" t="s">
        <v>423</v>
      </c>
      <c r="J84" t="s">
        <v>424</v>
      </c>
    </row>
    <row r="85" spans="1:10" x14ac:dyDescent="0.45">
      <c r="A85">
        <v>84</v>
      </c>
      <c r="B85">
        <f>82</f>
        <v>82</v>
      </c>
      <c r="C85" t="s">
        <v>425</v>
      </c>
      <c r="D85" t="s">
        <v>68</v>
      </c>
      <c r="E85" t="s">
        <v>417</v>
      </c>
      <c r="F85" t="s">
        <v>426</v>
      </c>
      <c r="G85" t="s">
        <v>427</v>
      </c>
      <c r="H85" t="s">
        <v>279</v>
      </c>
      <c r="I85" t="s">
        <v>391</v>
      </c>
      <c r="J85" t="s">
        <v>114</v>
      </c>
    </row>
    <row r="86" spans="1:10" x14ac:dyDescent="0.45">
      <c r="A86">
        <v>85</v>
      </c>
      <c r="B86">
        <v>85</v>
      </c>
      <c r="C86" t="s">
        <v>428</v>
      </c>
      <c r="D86" t="s">
        <v>103</v>
      </c>
      <c r="E86" t="s">
        <v>429</v>
      </c>
      <c r="F86" t="s">
        <v>430</v>
      </c>
      <c r="G86" t="s">
        <v>272</v>
      </c>
      <c r="H86" t="s">
        <v>431</v>
      </c>
      <c r="I86" t="s">
        <v>432</v>
      </c>
      <c r="J86" t="s">
        <v>433</v>
      </c>
    </row>
    <row r="87" spans="1:10" x14ac:dyDescent="0.45">
      <c r="A87">
        <v>86</v>
      </c>
      <c r="B87">
        <f>86</f>
        <v>86</v>
      </c>
      <c r="C87" t="s">
        <v>434</v>
      </c>
      <c r="D87" t="s">
        <v>174</v>
      </c>
      <c r="E87" t="s">
        <v>218</v>
      </c>
      <c r="F87" t="s">
        <v>167</v>
      </c>
      <c r="G87" t="s">
        <v>435</v>
      </c>
      <c r="H87" t="s">
        <v>436</v>
      </c>
      <c r="I87" t="s">
        <v>437</v>
      </c>
      <c r="J87" t="s">
        <v>193</v>
      </c>
    </row>
    <row r="88" spans="1:10" x14ac:dyDescent="0.45">
      <c r="A88">
        <v>87</v>
      </c>
      <c r="B88">
        <f>86</f>
        <v>86</v>
      </c>
      <c r="C88" t="s">
        <v>438</v>
      </c>
      <c r="D88" t="s">
        <v>174</v>
      </c>
      <c r="E88" t="s">
        <v>218</v>
      </c>
      <c r="F88" t="s">
        <v>272</v>
      </c>
      <c r="G88" t="s">
        <v>439</v>
      </c>
      <c r="H88" t="s">
        <v>177</v>
      </c>
      <c r="I88" t="s">
        <v>66</v>
      </c>
      <c r="J88" t="s">
        <v>329</v>
      </c>
    </row>
    <row r="89" spans="1:10" x14ac:dyDescent="0.45">
      <c r="A89">
        <v>88</v>
      </c>
      <c r="B89">
        <v>88</v>
      </c>
      <c r="C89" t="s">
        <v>440</v>
      </c>
      <c r="D89" t="s">
        <v>195</v>
      </c>
      <c r="E89" t="s">
        <v>441</v>
      </c>
      <c r="F89" t="s">
        <v>430</v>
      </c>
      <c r="G89" t="s">
        <v>415</v>
      </c>
      <c r="H89" t="s">
        <v>442</v>
      </c>
      <c r="I89" t="s">
        <v>417</v>
      </c>
      <c r="J89" t="s">
        <v>29</v>
      </c>
    </row>
    <row r="90" spans="1:10" x14ac:dyDescent="0.45">
      <c r="A90">
        <v>89</v>
      </c>
      <c r="B90">
        <v>89</v>
      </c>
      <c r="C90" t="s">
        <v>443</v>
      </c>
      <c r="D90" t="s">
        <v>174</v>
      </c>
      <c r="E90" t="s">
        <v>444</v>
      </c>
      <c r="F90" t="s">
        <v>445</v>
      </c>
      <c r="G90" t="s">
        <v>374</v>
      </c>
      <c r="H90" t="s">
        <v>80</v>
      </c>
      <c r="I90" t="s">
        <v>52</v>
      </c>
      <c r="J90" t="s">
        <v>248</v>
      </c>
    </row>
    <row r="91" spans="1:10" x14ac:dyDescent="0.45">
      <c r="A91">
        <v>90</v>
      </c>
      <c r="B91">
        <v>90</v>
      </c>
      <c r="C91" t="s">
        <v>446</v>
      </c>
      <c r="D91" t="s">
        <v>260</v>
      </c>
      <c r="E91" t="s">
        <v>334</v>
      </c>
      <c r="F91" t="s">
        <v>447</v>
      </c>
      <c r="G91" t="s">
        <v>448</v>
      </c>
      <c r="H91" t="s">
        <v>449</v>
      </c>
      <c r="I91" t="s">
        <v>450</v>
      </c>
      <c r="J91" t="s">
        <v>277</v>
      </c>
    </row>
    <row r="92" spans="1:10" x14ac:dyDescent="0.45">
      <c r="A92">
        <v>91</v>
      </c>
      <c r="B92">
        <f>91</f>
        <v>91</v>
      </c>
      <c r="C92" t="s">
        <v>451</v>
      </c>
      <c r="D92" t="s">
        <v>174</v>
      </c>
      <c r="E92" t="s">
        <v>452</v>
      </c>
      <c r="F92" t="s">
        <v>19</v>
      </c>
      <c r="G92" t="s">
        <v>453</v>
      </c>
      <c r="H92" t="s">
        <v>357</v>
      </c>
      <c r="I92" t="s">
        <v>368</v>
      </c>
      <c r="J92" t="s">
        <v>113</v>
      </c>
    </row>
    <row r="93" spans="1:10" x14ac:dyDescent="0.45">
      <c r="A93">
        <v>92</v>
      </c>
      <c r="B93">
        <f>91</f>
        <v>91</v>
      </c>
      <c r="C93" t="s">
        <v>454</v>
      </c>
      <c r="D93" t="s">
        <v>307</v>
      </c>
      <c r="E93" t="s">
        <v>452</v>
      </c>
      <c r="F93" t="s">
        <v>334</v>
      </c>
      <c r="G93" t="s">
        <v>41</v>
      </c>
      <c r="H93" t="s">
        <v>409</v>
      </c>
      <c r="I93" t="s">
        <v>95</v>
      </c>
      <c r="J93" t="s">
        <v>455</v>
      </c>
    </row>
    <row r="94" spans="1:10" x14ac:dyDescent="0.45">
      <c r="A94">
        <v>93</v>
      </c>
      <c r="B94">
        <v>93</v>
      </c>
      <c r="C94" t="s">
        <v>456</v>
      </c>
      <c r="D94" t="s">
        <v>260</v>
      </c>
      <c r="E94" t="s">
        <v>401</v>
      </c>
      <c r="F94" t="s">
        <v>457</v>
      </c>
      <c r="G94" t="s">
        <v>167</v>
      </c>
      <c r="H94" t="s">
        <v>362</v>
      </c>
      <c r="I94" t="s">
        <v>458</v>
      </c>
      <c r="J94" t="s">
        <v>459</v>
      </c>
    </row>
    <row r="95" spans="1:10" x14ac:dyDescent="0.45">
      <c r="A95">
        <v>94</v>
      </c>
      <c r="B95">
        <v>94</v>
      </c>
      <c r="C95" t="s">
        <v>460</v>
      </c>
      <c r="D95" t="s">
        <v>68</v>
      </c>
      <c r="E95" t="s">
        <v>298</v>
      </c>
      <c r="F95" t="s">
        <v>367</v>
      </c>
      <c r="G95" t="s">
        <v>461</v>
      </c>
      <c r="H95" t="s">
        <v>28</v>
      </c>
      <c r="I95" t="s">
        <v>462</v>
      </c>
      <c r="J95" t="s">
        <v>91</v>
      </c>
    </row>
    <row r="96" spans="1:10" x14ac:dyDescent="0.45">
      <c r="A96">
        <v>95</v>
      </c>
      <c r="B96">
        <f>95</f>
        <v>95</v>
      </c>
      <c r="C96" t="s">
        <v>463</v>
      </c>
      <c r="D96" t="s">
        <v>9</v>
      </c>
      <c r="E96" t="s">
        <v>464</v>
      </c>
      <c r="F96" t="s">
        <v>258</v>
      </c>
      <c r="G96" t="s">
        <v>445</v>
      </c>
      <c r="H96" t="s">
        <v>29</v>
      </c>
      <c r="I96" t="s">
        <v>465</v>
      </c>
      <c r="J96" t="s">
        <v>251</v>
      </c>
    </row>
    <row r="97" spans="1:10" x14ac:dyDescent="0.45">
      <c r="A97">
        <v>96</v>
      </c>
      <c r="B97">
        <f>95</f>
        <v>95</v>
      </c>
      <c r="C97" t="s">
        <v>466</v>
      </c>
      <c r="D97" t="s">
        <v>260</v>
      </c>
      <c r="E97" t="s">
        <v>464</v>
      </c>
      <c r="F97" t="s">
        <v>467</v>
      </c>
      <c r="G97" t="s">
        <v>126</v>
      </c>
      <c r="H97" t="s">
        <v>468</v>
      </c>
      <c r="I97" t="s">
        <v>267</v>
      </c>
      <c r="J97" t="s">
        <v>172</v>
      </c>
    </row>
    <row r="98" spans="1:10" x14ac:dyDescent="0.45">
      <c r="A98">
        <v>97</v>
      </c>
      <c r="B98">
        <f>95</f>
        <v>95</v>
      </c>
      <c r="C98" t="s">
        <v>469</v>
      </c>
      <c r="D98" t="s">
        <v>90</v>
      </c>
      <c r="E98" t="s">
        <v>464</v>
      </c>
      <c r="F98" t="s">
        <v>470</v>
      </c>
      <c r="G98" t="s">
        <v>439</v>
      </c>
      <c r="H98" t="s">
        <v>213</v>
      </c>
      <c r="I98" t="s">
        <v>275</v>
      </c>
      <c r="J98" t="s">
        <v>167</v>
      </c>
    </row>
    <row r="99" spans="1:10" x14ac:dyDescent="0.45">
      <c r="A99">
        <v>98</v>
      </c>
      <c r="B99">
        <v>98</v>
      </c>
      <c r="C99" t="s">
        <v>471</v>
      </c>
      <c r="D99" t="s">
        <v>9</v>
      </c>
      <c r="E99" t="s">
        <v>380</v>
      </c>
      <c r="F99" t="s">
        <v>13</v>
      </c>
      <c r="G99" t="s">
        <v>317</v>
      </c>
      <c r="H99" t="s">
        <v>422</v>
      </c>
      <c r="I99" t="s">
        <v>472</v>
      </c>
      <c r="J99" t="s">
        <v>473</v>
      </c>
    </row>
    <row r="100" spans="1:10" x14ac:dyDescent="0.45">
      <c r="A100">
        <v>99</v>
      </c>
      <c r="B100">
        <f>99</f>
        <v>99</v>
      </c>
      <c r="C100" t="s">
        <v>474</v>
      </c>
      <c r="D100" t="s">
        <v>180</v>
      </c>
      <c r="E100" t="s">
        <v>321</v>
      </c>
      <c r="F100" t="s">
        <v>475</v>
      </c>
      <c r="G100" t="s">
        <v>476</v>
      </c>
      <c r="H100" t="s">
        <v>66</v>
      </c>
      <c r="I100" t="s">
        <v>449</v>
      </c>
      <c r="J100" t="s">
        <v>149</v>
      </c>
    </row>
    <row r="101" spans="1:10" x14ac:dyDescent="0.45">
      <c r="A101">
        <v>100</v>
      </c>
      <c r="B101">
        <f>99</f>
        <v>99</v>
      </c>
      <c r="C101" t="s">
        <v>477</v>
      </c>
      <c r="D101" t="s">
        <v>174</v>
      </c>
      <c r="E101" t="s">
        <v>321</v>
      </c>
      <c r="F101" t="s">
        <v>316</v>
      </c>
      <c r="G101" t="s">
        <v>334</v>
      </c>
      <c r="H101" t="s">
        <v>478</v>
      </c>
      <c r="I101" t="s">
        <v>424</v>
      </c>
      <c r="J101" t="s">
        <v>429</v>
      </c>
    </row>
  </sheetData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1A311-0846-406F-B4FA-4C24CDC1478D}">
  <sheetPr codeName="Arkusz2"/>
  <dimension ref="A1:E101"/>
  <sheetViews>
    <sheetView topLeftCell="A70" zoomScale="130" zoomScaleNormal="130" workbookViewId="0">
      <selection activeCell="C110" sqref="C110"/>
    </sheetView>
  </sheetViews>
  <sheetFormatPr defaultRowHeight="14.25" x14ac:dyDescent="0.45"/>
  <cols>
    <col min="1" max="1" width="13.73046875" customWidth="1"/>
    <col min="2" max="2" width="12.3984375" bestFit="1" customWidth="1"/>
    <col min="3" max="3" width="51.86328125" bestFit="1" customWidth="1"/>
    <col min="4" max="4" width="21.86328125" customWidth="1"/>
    <col min="5" max="5" width="11.73046875" customWidth="1"/>
    <col min="6" max="6" width="9.9296875" bestFit="1" customWidth="1"/>
    <col min="7" max="8" width="35.9296875" bestFit="1" customWidth="1"/>
  </cols>
  <sheetData>
    <row r="1" spans="1:5" x14ac:dyDescent="0.45">
      <c r="A1" t="s">
        <v>851</v>
      </c>
      <c r="B1" t="s">
        <v>527</v>
      </c>
      <c r="C1" t="s">
        <v>528</v>
      </c>
      <c r="D1" t="s">
        <v>489</v>
      </c>
      <c r="E1" t="s">
        <v>490</v>
      </c>
    </row>
    <row r="2" spans="1:5" x14ac:dyDescent="0.45">
      <c r="A2">
        <v>1</v>
      </c>
      <c r="B2">
        <v>1</v>
      </c>
      <c r="C2" t="s">
        <v>8</v>
      </c>
      <c r="D2">
        <v>1</v>
      </c>
      <c r="E2" t="s">
        <v>95</v>
      </c>
    </row>
    <row r="3" spans="1:5" x14ac:dyDescent="0.45">
      <c r="A3">
        <v>2</v>
      </c>
      <c r="B3">
        <v>2</v>
      </c>
      <c r="C3" t="s">
        <v>21</v>
      </c>
      <c r="D3">
        <v>2</v>
      </c>
      <c r="E3" t="s">
        <v>46</v>
      </c>
    </row>
    <row r="4" spans="1:5" x14ac:dyDescent="0.45">
      <c r="A4">
        <v>3</v>
      </c>
      <c r="B4">
        <v>3</v>
      </c>
      <c r="C4" t="s">
        <v>493</v>
      </c>
      <c r="D4">
        <v>3</v>
      </c>
      <c r="E4" t="s">
        <v>574</v>
      </c>
    </row>
    <row r="5" spans="1:5" x14ac:dyDescent="0.45">
      <c r="A5">
        <v>4</v>
      </c>
      <c r="B5">
        <v>4</v>
      </c>
      <c r="C5" t="s">
        <v>15</v>
      </c>
      <c r="D5">
        <v>1</v>
      </c>
      <c r="E5" t="s">
        <v>327</v>
      </c>
    </row>
    <row r="6" spans="1:5" x14ac:dyDescent="0.45">
      <c r="A6">
        <v>5</v>
      </c>
      <c r="B6">
        <v>5</v>
      </c>
      <c r="C6" t="s">
        <v>43</v>
      </c>
      <c r="D6">
        <v>4</v>
      </c>
      <c r="E6" t="s">
        <v>417</v>
      </c>
    </row>
    <row r="7" spans="1:5" x14ac:dyDescent="0.45">
      <c r="A7">
        <v>6</v>
      </c>
      <c r="B7">
        <v>6</v>
      </c>
      <c r="C7" t="s">
        <v>36</v>
      </c>
      <c r="D7">
        <v>5</v>
      </c>
      <c r="E7" t="s">
        <v>576</v>
      </c>
    </row>
    <row r="8" spans="1:5" x14ac:dyDescent="0.45">
      <c r="A8">
        <v>7</v>
      </c>
      <c r="B8">
        <v>7</v>
      </c>
      <c r="C8" t="s">
        <v>0</v>
      </c>
      <c r="D8">
        <v>2</v>
      </c>
      <c r="E8" t="s">
        <v>447</v>
      </c>
    </row>
    <row r="9" spans="1:5" x14ac:dyDescent="0.45">
      <c r="A9">
        <v>8</v>
      </c>
      <c r="B9">
        <v>8</v>
      </c>
      <c r="C9" t="s">
        <v>61</v>
      </c>
      <c r="D9">
        <v>6</v>
      </c>
      <c r="E9" t="s">
        <v>577</v>
      </c>
    </row>
    <row r="10" spans="1:5" x14ac:dyDescent="0.45">
      <c r="A10">
        <v>9</v>
      </c>
      <c r="B10">
        <v>9</v>
      </c>
      <c r="C10" t="s">
        <v>31</v>
      </c>
      <c r="D10">
        <v>7</v>
      </c>
      <c r="E10" t="s">
        <v>374</v>
      </c>
    </row>
    <row r="11" spans="1:5" x14ac:dyDescent="0.45">
      <c r="A11">
        <v>10</v>
      </c>
      <c r="B11">
        <v>10</v>
      </c>
      <c r="C11" t="s">
        <v>501</v>
      </c>
      <c r="D11">
        <v>8</v>
      </c>
      <c r="E11" t="s">
        <v>359</v>
      </c>
    </row>
    <row r="12" spans="1:5" x14ac:dyDescent="0.45">
      <c r="A12">
        <v>11</v>
      </c>
      <c r="B12">
        <v>11</v>
      </c>
      <c r="C12" t="s">
        <v>48</v>
      </c>
      <c r="D12">
        <v>9</v>
      </c>
      <c r="E12" t="s">
        <v>579</v>
      </c>
    </row>
    <row r="13" spans="1:5" x14ac:dyDescent="0.45">
      <c r="A13">
        <v>12</v>
      </c>
      <c r="B13">
        <v>12</v>
      </c>
      <c r="C13" t="s">
        <v>118</v>
      </c>
      <c r="D13">
        <v>10</v>
      </c>
      <c r="E13" t="s">
        <v>325</v>
      </c>
    </row>
    <row r="14" spans="1:5" x14ac:dyDescent="0.45">
      <c r="A14">
        <v>13</v>
      </c>
      <c r="B14">
        <v>13</v>
      </c>
      <c r="C14" t="s">
        <v>124</v>
      </c>
      <c r="D14">
        <v>11</v>
      </c>
      <c r="E14" t="s">
        <v>581</v>
      </c>
    </row>
    <row r="15" spans="1:5" x14ac:dyDescent="0.45">
      <c r="A15">
        <v>14</v>
      </c>
      <c r="B15">
        <v>14</v>
      </c>
      <c r="C15" t="s">
        <v>83</v>
      </c>
      <c r="D15">
        <v>12</v>
      </c>
      <c r="E15" t="s">
        <v>229</v>
      </c>
    </row>
    <row r="16" spans="1:5" x14ac:dyDescent="0.45">
      <c r="A16">
        <v>15</v>
      </c>
      <c r="B16">
        <v>15</v>
      </c>
      <c r="C16" t="s">
        <v>79</v>
      </c>
      <c r="D16">
        <v>13</v>
      </c>
      <c r="E16" t="s">
        <v>317</v>
      </c>
    </row>
    <row r="17" spans="1:5" x14ac:dyDescent="0.45">
      <c r="A17">
        <v>16</v>
      </c>
      <c r="B17">
        <v>16</v>
      </c>
      <c r="C17" t="s">
        <v>508</v>
      </c>
      <c r="D17">
        <v>1</v>
      </c>
      <c r="E17" t="s">
        <v>583</v>
      </c>
    </row>
    <row r="18" spans="1:5" x14ac:dyDescent="0.45">
      <c r="A18">
        <v>17</v>
      </c>
      <c r="B18">
        <v>17</v>
      </c>
      <c r="C18" t="s">
        <v>157</v>
      </c>
      <c r="D18">
        <v>14</v>
      </c>
      <c r="E18" t="s">
        <v>584</v>
      </c>
    </row>
    <row r="19" spans="1:5" x14ac:dyDescent="0.45">
      <c r="A19">
        <v>18</v>
      </c>
      <c r="B19">
        <v>18</v>
      </c>
      <c r="C19" t="s">
        <v>511</v>
      </c>
      <c r="D19">
        <v>3</v>
      </c>
      <c r="E19" t="s">
        <v>404</v>
      </c>
    </row>
    <row r="20" spans="1:5" x14ac:dyDescent="0.45">
      <c r="A20">
        <v>19</v>
      </c>
      <c r="B20">
        <v>19</v>
      </c>
      <c r="C20" t="s">
        <v>513</v>
      </c>
      <c r="D20">
        <v>15</v>
      </c>
      <c r="E20" t="s">
        <v>585</v>
      </c>
    </row>
    <row r="21" spans="1:5" x14ac:dyDescent="0.45">
      <c r="A21">
        <v>20</v>
      </c>
      <c r="B21">
        <v>20</v>
      </c>
      <c r="C21" t="s">
        <v>67</v>
      </c>
      <c r="D21">
        <v>1</v>
      </c>
      <c r="E21" t="s">
        <v>203</v>
      </c>
    </row>
    <row r="22" spans="1:5" x14ac:dyDescent="0.45">
      <c r="A22">
        <v>21</v>
      </c>
      <c r="B22">
        <v>21</v>
      </c>
      <c r="C22" t="s">
        <v>185</v>
      </c>
      <c r="D22">
        <v>16</v>
      </c>
      <c r="E22" t="s">
        <v>586</v>
      </c>
    </row>
    <row r="23" spans="1:5" x14ac:dyDescent="0.45">
      <c r="A23">
        <v>22</v>
      </c>
      <c r="B23">
        <v>22</v>
      </c>
      <c r="C23" t="s">
        <v>102</v>
      </c>
      <c r="D23">
        <v>1</v>
      </c>
      <c r="E23" t="s">
        <v>365</v>
      </c>
    </row>
    <row r="24" spans="1:5" x14ac:dyDescent="0.45">
      <c r="A24">
        <v>23</v>
      </c>
      <c r="B24">
        <v>23</v>
      </c>
      <c r="C24" t="s">
        <v>54</v>
      </c>
      <c r="D24">
        <v>4</v>
      </c>
      <c r="E24" t="s">
        <v>96</v>
      </c>
    </row>
    <row r="25" spans="1:5" x14ac:dyDescent="0.45">
      <c r="A25">
        <v>24</v>
      </c>
      <c r="B25">
        <v>24</v>
      </c>
      <c r="C25" t="s">
        <v>220</v>
      </c>
      <c r="D25">
        <v>1</v>
      </c>
      <c r="E25" t="s">
        <v>587</v>
      </c>
    </row>
    <row r="26" spans="1:5" x14ac:dyDescent="0.45">
      <c r="A26">
        <v>25</v>
      </c>
      <c r="B26">
        <v>25</v>
      </c>
      <c r="C26" t="s">
        <v>139</v>
      </c>
      <c r="D26">
        <v>17</v>
      </c>
      <c r="E26" t="s">
        <v>589</v>
      </c>
    </row>
    <row r="27" spans="1:5" x14ac:dyDescent="0.45">
      <c r="A27">
        <v>26</v>
      </c>
      <c r="B27">
        <v>26</v>
      </c>
      <c r="C27" t="s">
        <v>89</v>
      </c>
      <c r="D27">
        <v>1</v>
      </c>
      <c r="E27" t="s">
        <v>590</v>
      </c>
    </row>
    <row r="28" spans="1:5" x14ac:dyDescent="0.45">
      <c r="A28">
        <v>27</v>
      </c>
      <c r="B28">
        <v>27</v>
      </c>
      <c r="C28" t="s">
        <v>522</v>
      </c>
      <c r="D28">
        <v>18</v>
      </c>
      <c r="E28" t="s">
        <v>591</v>
      </c>
    </row>
    <row r="29" spans="1:5" x14ac:dyDescent="0.45">
      <c r="A29">
        <v>28</v>
      </c>
      <c r="B29">
        <v>28</v>
      </c>
      <c r="C29" t="s">
        <v>133</v>
      </c>
      <c r="D29">
        <v>19</v>
      </c>
      <c r="E29" t="s">
        <v>335</v>
      </c>
    </row>
    <row r="30" spans="1:5" x14ac:dyDescent="0.45">
      <c r="A30">
        <v>29</v>
      </c>
      <c r="B30">
        <v>29</v>
      </c>
      <c r="C30" t="s">
        <v>366</v>
      </c>
      <c r="D30">
        <v>20</v>
      </c>
      <c r="E30" t="s">
        <v>592</v>
      </c>
    </row>
    <row r="31" spans="1:5" x14ac:dyDescent="0.45">
      <c r="A31">
        <v>30</v>
      </c>
      <c r="B31">
        <v>30</v>
      </c>
      <c r="C31" t="s">
        <v>151</v>
      </c>
      <c r="D31">
        <v>21</v>
      </c>
      <c r="E31" t="s">
        <v>593</v>
      </c>
    </row>
    <row r="32" spans="1:5" x14ac:dyDescent="0.45">
      <c r="A32">
        <v>31</v>
      </c>
      <c r="B32">
        <v>31</v>
      </c>
      <c r="C32" t="s">
        <v>145</v>
      </c>
      <c r="D32">
        <v>22</v>
      </c>
      <c r="E32" t="s">
        <v>531</v>
      </c>
    </row>
    <row r="33" spans="1:5" x14ac:dyDescent="0.45">
      <c r="A33">
        <v>32</v>
      </c>
      <c r="B33">
        <v>32</v>
      </c>
      <c r="C33" t="s">
        <v>533</v>
      </c>
      <c r="D33">
        <v>1</v>
      </c>
      <c r="E33" t="s">
        <v>534</v>
      </c>
    </row>
    <row r="34" spans="1:5" x14ac:dyDescent="0.45">
      <c r="A34">
        <v>33</v>
      </c>
      <c r="B34">
        <v>33</v>
      </c>
      <c r="C34" t="s">
        <v>535</v>
      </c>
      <c r="D34">
        <v>23</v>
      </c>
      <c r="E34" t="s">
        <v>536</v>
      </c>
    </row>
    <row r="35" spans="1:5" x14ac:dyDescent="0.45">
      <c r="A35">
        <v>34</v>
      </c>
      <c r="B35">
        <v>34</v>
      </c>
      <c r="C35" t="s">
        <v>97</v>
      </c>
      <c r="D35">
        <v>2</v>
      </c>
      <c r="E35" t="s">
        <v>312</v>
      </c>
    </row>
    <row r="36" spans="1:5" x14ac:dyDescent="0.45">
      <c r="A36">
        <v>35</v>
      </c>
      <c r="B36">
        <v>35</v>
      </c>
      <c r="C36" t="s">
        <v>537</v>
      </c>
      <c r="D36">
        <v>5</v>
      </c>
      <c r="E36" t="s">
        <v>538</v>
      </c>
    </row>
    <row r="37" spans="1:5" x14ac:dyDescent="0.45">
      <c r="A37">
        <v>36</v>
      </c>
      <c r="B37">
        <v>36</v>
      </c>
      <c r="C37" t="s">
        <v>355</v>
      </c>
      <c r="D37">
        <v>3</v>
      </c>
      <c r="E37" t="s">
        <v>539</v>
      </c>
    </row>
    <row r="38" spans="1:5" x14ac:dyDescent="0.45">
      <c r="A38">
        <v>37</v>
      </c>
      <c r="B38">
        <v>37</v>
      </c>
      <c r="C38" t="s">
        <v>541</v>
      </c>
      <c r="D38">
        <v>24</v>
      </c>
      <c r="E38" t="s">
        <v>542</v>
      </c>
    </row>
    <row r="39" spans="1:5" x14ac:dyDescent="0.45">
      <c r="A39">
        <v>38</v>
      </c>
      <c r="B39">
        <v>38</v>
      </c>
      <c r="C39" t="s">
        <v>543</v>
      </c>
      <c r="D39">
        <v>6</v>
      </c>
      <c r="E39" t="s">
        <v>544</v>
      </c>
    </row>
    <row r="40" spans="1:5" x14ac:dyDescent="0.45">
      <c r="A40">
        <v>39</v>
      </c>
      <c r="B40">
        <v>39</v>
      </c>
      <c r="C40" t="s">
        <v>545</v>
      </c>
      <c r="D40">
        <v>1</v>
      </c>
      <c r="E40" t="s">
        <v>546</v>
      </c>
    </row>
    <row r="41" spans="1:5" x14ac:dyDescent="0.45">
      <c r="A41">
        <v>40</v>
      </c>
      <c r="B41">
        <v>40</v>
      </c>
      <c r="C41" t="s">
        <v>547</v>
      </c>
      <c r="D41">
        <v>2</v>
      </c>
      <c r="E41" t="s">
        <v>548</v>
      </c>
    </row>
    <row r="42" spans="1:5" x14ac:dyDescent="0.45">
      <c r="A42">
        <v>41</v>
      </c>
      <c r="B42">
        <v>41</v>
      </c>
      <c r="C42" t="s">
        <v>270</v>
      </c>
      <c r="D42">
        <v>1</v>
      </c>
      <c r="E42" t="s">
        <v>549</v>
      </c>
    </row>
    <row r="43" spans="1:5" x14ac:dyDescent="0.45">
      <c r="A43">
        <v>42</v>
      </c>
      <c r="B43">
        <v>41</v>
      </c>
      <c r="C43" t="s">
        <v>360</v>
      </c>
      <c r="D43">
        <v>2</v>
      </c>
      <c r="E43" t="s">
        <v>549</v>
      </c>
    </row>
    <row r="44" spans="1:5" x14ac:dyDescent="0.45">
      <c r="A44">
        <v>43</v>
      </c>
      <c r="B44">
        <v>43</v>
      </c>
      <c r="C44" t="s">
        <v>446</v>
      </c>
      <c r="D44">
        <v>3</v>
      </c>
      <c r="E44" t="s">
        <v>550</v>
      </c>
    </row>
    <row r="45" spans="1:5" x14ac:dyDescent="0.45">
      <c r="A45">
        <v>44</v>
      </c>
      <c r="B45">
        <v>44</v>
      </c>
      <c r="C45" t="s">
        <v>552</v>
      </c>
      <c r="D45" t="s">
        <v>553</v>
      </c>
      <c r="E45" t="s">
        <v>554</v>
      </c>
    </row>
    <row r="46" spans="1:5" x14ac:dyDescent="0.45">
      <c r="A46">
        <v>45</v>
      </c>
      <c r="B46">
        <v>44</v>
      </c>
      <c r="C46" t="s">
        <v>225</v>
      </c>
      <c r="D46">
        <v>2</v>
      </c>
      <c r="E46" t="s">
        <v>554</v>
      </c>
    </row>
    <row r="47" spans="1:5" x14ac:dyDescent="0.45">
      <c r="A47">
        <v>46</v>
      </c>
      <c r="B47">
        <v>44</v>
      </c>
      <c r="C47" t="s">
        <v>556</v>
      </c>
      <c r="D47" t="s">
        <v>553</v>
      </c>
      <c r="E47" t="s">
        <v>554</v>
      </c>
    </row>
    <row r="48" spans="1:5" x14ac:dyDescent="0.45">
      <c r="A48">
        <v>47</v>
      </c>
      <c r="B48">
        <v>47</v>
      </c>
      <c r="C48" t="s">
        <v>289</v>
      </c>
      <c r="D48">
        <v>2</v>
      </c>
      <c r="E48" t="s">
        <v>557</v>
      </c>
    </row>
    <row r="49" spans="1:5" x14ac:dyDescent="0.45">
      <c r="A49">
        <v>48</v>
      </c>
      <c r="B49">
        <v>48</v>
      </c>
      <c r="C49" t="s">
        <v>558</v>
      </c>
      <c r="D49">
        <v>7</v>
      </c>
      <c r="E49" t="s">
        <v>559</v>
      </c>
    </row>
    <row r="50" spans="1:5" x14ac:dyDescent="0.45">
      <c r="A50">
        <v>49</v>
      </c>
      <c r="B50">
        <v>49</v>
      </c>
      <c r="C50" t="s">
        <v>266</v>
      </c>
      <c r="D50">
        <v>27</v>
      </c>
      <c r="E50" t="s">
        <v>560</v>
      </c>
    </row>
    <row r="51" spans="1:5" x14ac:dyDescent="0.45">
      <c r="A51">
        <v>50</v>
      </c>
      <c r="B51">
        <v>50</v>
      </c>
      <c r="C51" t="s">
        <v>561</v>
      </c>
      <c r="D51">
        <v>28</v>
      </c>
      <c r="E51" t="s">
        <v>562</v>
      </c>
    </row>
    <row r="52" spans="1:5" x14ac:dyDescent="0.45">
      <c r="A52">
        <v>51</v>
      </c>
      <c r="B52">
        <v>51</v>
      </c>
      <c r="C52" t="s">
        <v>563</v>
      </c>
      <c r="D52">
        <v>29</v>
      </c>
      <c r="E52" t="s">
        <v>564</v>
      </c>
    </row>
    <row r="53" spans="1:5" x14ac:dyDescent="0.45">
      <c r="A53">
        <v>52</v>
      </c>
      <c r="B53">
        <v>52</v>
      </c>
      <c r="C53" t="s">
        <v>565</v>
      </c>
      <c r="D53">
        <v>30</v>
      </c>
      <c r="E53" t="s">
        <v>566</v>
      </c>
    </row>
    <row r="54" spans="1:5" x14ac:dyDescent="0.45">
      <c r="A54">
        <v>53</v>
      </c>
      <c r="B54">
        <v>53</v>
      </c>
      <c r="C54" t="s">
        <v>347</v>
      </c>
      <c r="D54">
        <v>31</v>
      </c>
      <c r="E54" t="s">
        <v>567</v>
      </c>
    </row>
    <row r="55" spans="1:5" x14ac:dyDescent="0.45">
      <c r="A55">
        <v>54</v>
      </c>
      <c r="B55">
        <v>54</v>
      </c>
      <c r="C55" t="s">
        <v>286</v>
      </c>
      <c r="D55">
        <v>4</v>
      </c>
      <c r="E55" t="s">
        <v>568</v>
      </c>
    </row>
    <row r="56" spans="1:5" x14ac:dyDescent="0.45">
      <c r="A56">
        <v>55</v>
      </c>
      <c r="B56">
        <v>54</v>
      </c>
      <c r="C56" t="s">
        <v>352</v>
      </c>
      <c r="D56">
        <v>1</v>
      </c>
      <c r="E56" t="s">
        <v>568</v>
      </c>
    </row>
    <row r="57" spans="1:5" x14ac:dyDescent="0.45">
      <c r="A57">
        <v>56</v>
      </c>
      <c r="B57">
        <v>56</v>
      </c>
      <c r="C57" t="s">
        <v>173</v>
      </c>
      <c r="D57">
        <v>1</v>
      </c>
      <c r="E57" s="4">
        <v>45138</v>
      </c>
    </row>
    <row r="58" spans="1:5" x14ac:dyDescent="0.45">
      <c r="A58">
        <v>57</v>
      </c>
      <c r="B58">
        <v>57</v>
      </c>
      <c r="C58" t="s">
        <v>345</v>
      </c>
      <c r="D58">
        <v>32</v>
      </c>
      <c r="E58" s="4">
        <v>45077</v>
      </c>
    </row>
    <row r="59" spans="1:5" x14ac:dyDescent="0.45">
      <c r="A59">
        <v>58</v>
      </c>
      <c r="B59">
        <v>57</v>
      </c>
      <c r="C59" t="s">
        <v>570</v>
      </c>
      <c r="D59">
        <v>2</v>
      </c>
      <c r="E59" s="4">
        <v>45077</v>
      </c>
    </row>
    <row r="60" spans="1:5" x14ac:dyDescent="0.45">
      <c r="A60">
        <v>59</v>
      </c>
      <c r="B60">
        <v>59</v>
      </c>
      <c r="C60" t="s">
        <v>425</v>
      </c>
      <c r="D60">
        <v>2</v>
      </c>
      <c r="E60" t="s">
        <v>571</v>
      </c>
    </row>
    <row r="61" spans="1:5" x14ac:dyDescent="0.45">
      <c r="A61">
        <v>60</v>
      </c>
      <c r="B61">
        <v>60</v>
      </c>
      <c r="C61" t="s">
        <v>572</v>
      </c>
      <c r="D61">
        <v>3</v>
      </c>
      <c r="E61" s="4">
        <v>45168</v>
      </c>
    </row>
    <row r="62" spans="1:5" x14ac:dyDescent="0.45">
      <c r="A62">
        <v>61</v>
      </c>
      <c r="B62">
        <v>61</v>
      </c>
      <c r="C62" t="s">
        <v>463</v>
      </c>
      <c r="D62">
        <v>33</v>
      </c>
      <c r="E62" s="4">
        <v>45137</v>
      </c>
    </row>
    <row r="63" spans="1:5" x14ac:dyDescent="0.45">
      <c r="A63">
        <v>62</v>
      </c>
      <c r="B63">
        <v>62</v>
      </c>
      <c r="C63" t="s">
        <v>594</v>
      </c>
      <c r="D63">
        <v>3</v>
      </c>
      <c r="E63" s="4">
        <v>45015</v>
      </c>
    </row>
    <row r="64" spans="1:5" x14ac:dyDescent="0.45">
      <c r="A64">
        <v>63</v>
      </c>
      <c r="B64">
        <v>62</v>
      </c>
      <c r="C64" t="s">
        <v>385</v>
      </c>
      <c r="D64">
        <v>5</v>
      </c>
      <c r="E64" s="4">
        <v>45015</v>
      </c>
    </row>
    <row r="65" spans="1:5" x14ac:dyDescent="0.45">
      <c r="A65">
        <v>64</v>
      </c>
      <c r="B65">
        <v>64</v>
      </c>
      <c r="C65" t="s">
        <v>595</v>
      </c>
      <c r="D65">
        <v>4</v>
      </c>
      <c r="E65" t="s">
        <v>596</v>
      </c>
    </row>
    <row r="66" spans="1:5" x14ac:dyDescent="0.45">
      <c r="A66">
        <v>65</v>
      </c>
      <c r="B66">
        <v>64</v>
      </c>
      <c r="C66" t="s">
        <v>471</v>
      </c>
      <c r="D66">
        <v>34</v>
      </c>
      <c r="E66" t="s">
        <v>596</v>
      </c>
    </row>
    <row r="67" spans="1:5" x14ac:dyDescent="0.45">
      <c r="A67">
        <v>66</v>
      </c>
      <c r="B67">
        <v>66</v>
      </c>
      <c r="C67" t="s">
        <v>388</v>
      </c>
      <c r="D67">
        <v>2</v>
      </c>
      <c r="E67" s="4">
        <v>44956</v>
      </c>
    </row>
    <row r="68" spans="1:5" x14ac:dyDescent="0.45">
      <c r="A68">
        <v>67</v>
      </c>
      <c r="B68">
        <v>67</v>
      </c>
      <c r="C68" t="s">
        <v>282</v>
      </c>
      <c r="D68">
        <v>6</v>
      </c>
      <c r="E68" t="s">
        <v>597</v>
      </c>
    </row>
    <row r="69" spans="1:5" x14ac:dyDescent="0.45">
      <c r="A69">
        <v>68</v>
      </c>
      <c r="B69">
        <v>67</v>
      </c>
      <c r="C69" t="s">
        <v>598</v>
      </c>
      <c r="D69">
        <v>1</v>
      </c>
      <c r="E69" t="s">
        <v>597</v>
      </c>
    </row>
    <row r="70" spans="1:5" x14ac:dyDescent="0.45">
      <c r="A70">
        <v>69</v>
      </c>
      <c r="B70">
        <v>69</v>
      </c>
      <c r="C70" t="s">
        <v>599</v>
      </c>
      <c r="D70">
        <v>2</v>
      </c>
      <c r="E70" s="4">
        <v>45136</v>
      </c>
    </row>
    <row r="71" spans="1:5" x14ac:dyDescent="0.45">
      <c r="A71">
        <v>70</v>
      </c>
      <c r="B71">
        <v>70</v>
      </c>
      <c r="C71" t="s">
        <v>600</v>
      </c>
      <c r="D71">
        <v>3</v>
      </c>
      <c r="E71" s="4">
        <v>45075</v>
      </c>
    </row>
    <row r="72" spans="1:5" x14ac:dyDescent="0.45">
      <c r="A72">
        <v>71</v>
      </c>
      <c r="B72">
        <v>71</v>
      </c>
      <c r="C72" t="s">
        <v>110</v>
      </c>
      <c r="D72">
        <v>1</v>
      </c>
      <c r="E72" s="4">
        <v>45014</v>
      </c>
    </row>
    <row r="73" spans="1:5" x14ac:dyDescent="0.45">
      <c r="A73">
        <v>72</v>
      </c>
      <c r="B73">
        <v>71</v>
      </c>
      <c r="C73" t="s">
        <v>601</v>
      </c>
      <c r="D73">
        <v>35</v>
      </c>
      <c r="E73" s="4">
        <v>45014</v>
      </c>
    </row>
    <row r="74" spans="1:5" x14ac:dyDescent="0.45">
      <c r="A74">
        <v>73</v>
      </c>
      <c r="B74">
        <v>73</v>
      </c>
      <c r="C74" t="s">
        <v>253</v>
      </c>
      <c r="D74">
        <v>3</v>
      </c>
      <c r="E74" s="4">
        <v>44955</v>
      </c>
    </row>
    <row r="75" spans="1:5" x14ac:dyDescent="0.45">
      <c r="A75">
        <v>74</v>
      </c>
      <c r="B75">
        <v>74</v>
      </c>
      <c r="C75" t="s">
        <v>602</v>
      </c>
      <c r="D75">
        <v>1</v>
      </c>
      <c r="E75" s="4">
        <v>45197</v>
      </c>
    </row>
    <row r="76" spans="1:5" x14ac:dyDescent="0.45">
      <c r="A76">
        <v>75</v>
      </c>
      <c r="B76">
        <v>75</v>
      </c>
      <c r="C76" t="s">
        <v>245</v>
      </c>
      <c r="D76">
        <v>5</v>
      </c>
      <c r="E76" s="4">
        <v>45044</v>
      </c>
    </row>
    <row r="77" spans="1:5" x14ac:dyDescent="0.45">
      <c r="A77">
        <v>76</v>
      </c>
      <c r="B77">
        <v>76</v>
      </c>
      <c r="C77" t="s">
        <v>443</v>
      </c>
      <c r="D77">
        <v>4</v>
      </c>
      <c r="E77" s="4">
        <v>44954</v>
      </c>
    </row>
    <row r="78" spans="1:5" x14ac:dyDescent="0.45">
      <c r="A78">
        <v>77</v>
      </c>
      <c r="B78">
        <v>77</v>
      </c>
      <c r="C78" t="s">
        <v>603</v>
      </c>
      <c r="D78">
        <v>1</v>
      </c>
      <c r="E78" s="4">
        <v>45196</v>
      </c>
    </row>
    <row r="79" spans="1:5" x14ac:dyDescent="0.45">
      <c r="A79">
        <v>78</v>
      </c>
      <c r="B79">
        <v>78</v>
      </c>
      <c r="C79" t="s">
        <v>604</v>
      </c>
      <c r="D79">
        <v>4</v>
      </c>
      <c r="E79" s="4">
        <v>45134</v>
      </c>
    </row>
    <row r="80" spans="1:5" x14ac:dyDescent="0.45">
      <c r="A80">
        <v>79</v>
      </c>
      <c r="B80">
        <v>79</v>
      </c>
      <c r="C80" t="s">
        <v>605</v>
      </c>
      <c r="D80">
        <v>7</v>
      </c>
      <c r="E80" s="4">
        <v>45073</v>
      </c>
    </row>
    <row r="81" spans="1:5" x14ac:dyDescent="0.45">
      <c r="A81">
        <v>80</v>
      </c>
      <c r="B81">
        <v>79</v>
      </c>
      <c r="C81" t="s">
        <v>606</v>
      </c>
      <c r="D81">
        <v>6</v>
      </c>
      <c r="E81" s="4">
        <v>45073</v>
      </c>
    </row>
    <row r="82" spans="1:5" x14ac:dyDescent="0.45">
      <c r="A82">
        <v>81</v>
      </c>
      <c r="B82">
        <v>81</v>
      </c>
      <c r="C82" t="s">
        <v>392</v>
      </c>
      <c r="D82">
        <v>8</v>
      </c>
      <c r="E82" s="4">
        <v>45043</v>
      </c>
    </row>
    <row r="83" spans="1:5" x14ac:dyDescent="0.45">
      <c r="A83">
        <v>82</v>
      </c>
      <c r="B83">
        <v>82</v>
      </c>
      <c r="C83" t="s">
        <v>607</v>
      </c>
      <c r="D83">
        <v>36</v>
      </c>
      <c r="E83" s="4">
        <v>45012</v>
      </c>
    </row>
    <row r="84" spans="1:5" x14ac:dyDescent="0.45">
      <c r="A84">
        <v>83</v>
      </c>
      <c r="B84">
        <v>83</v>
      </c>
      <c r="C84" t="s">
        <v>608</v>
      </c>
      <c r="D84">
        <v>37</v>
      </c>
      <c r="E84" s="4">
        <v>44984</v>
      </c>
    </row>
    <row r="85" spans="1:5" x14ac:dyDescent="0.45">
      <c r="A85">
        <v>84</v>
      </c>
      <c r="B85">
        <v>83</v>
      </c>
      <c r="C85" t="s">
        <v>609</v>
      </c>
      <c r="D85" s="4">
        <v>44987</v>
      </c>
      <c r="E85" s="4">
        <v>44984</v>
      </c>
    </row>
    <row r="86" spans="1:5" x14ac:dyDescent="0.45">
      <c r="A86">
        <v>85</v>
      </c>
      <c r="B86">
        <v>83</v>
      </c>
      <c r="C86" t="s">
        <v>610</v>
      </c>
      <c r="D86">
        <v>4</v>
      </c>
      <c r="E86" s="4">
        <v>44984</v>
      </c>
    </row>
    <row r="87" spans="1:5" x14ac:dyDescent="0.45">
      <c r="A87">
        <v>86</v>
      </c>
      <c r="B87">
        <v>83</v>
      </c>
      <c r="C87" t="s">
        <v>612</v>
      </c>
      <c r="D87" s="4">
        <v>44987</v>
      </c>
      <c r="E87" s="4">
        <v>44984</v>
      </c>
    </row>
    <row r="88" spans="1:5" x14ac:dyDescent="0.45">
      <c r="A88">
        <v>87</v>
      </c>
      <c r="B88">
        <v>87</v>
      </c>
      <c r="C88" t="s">
        <v>408</v>
      </c>
      <c r="D88">
        <v>3</v>
      </c>
      <c r="E88" t="s">
        <v>613</v>
      </c>
    </row>
    <row r="89" spans="1:5" x14ac:dyDescent="0.45">
      <c r="A89">
        <v>88</v>
      </c>
      <c r="B89">
        <v>88</v>
      </c>
      <c r="C89" t="s">
        <v>614</v>
      </c>
      <c r="D89">
        <v>2</v>
      </c>
      <c r="E89" s="4">
        <v>45195</v>
      </c>
    </row>
    <row r="90" spans="1:5" x14ac:dyDescent="0.45">
      <c r="A90">
        <v>89</v>
      </c>
      <c r="B90">
        <v>89</v>
      </c>
      <c r="C90" t="s">
        <v>615</v>
      </c>
      <c r="D90">
        <v>2</v>
      </c>
      <c r="E90" s="4">
        <v>45164</v>
      </c>
    </row>
    <row r="91" spans="1:5" x14ac:dyDescent="0.45">
      <c r="A91">
        <v>90</v>
      </c>
      <c r="B91">
        <v>90</v>
      </c>
      <c r="C91" t="s">
        <v>428</v>
      </c>
      <c r="D91">
        <v>4</v>
      </c>
      <c r="E91" s="4">
        <v>45133</v>
      </c>
    </row>
    <row r="92" spans="1:5" x14ac:dyDescent="0.45">
      <c r="A92">
        <v>91</v>
      </c>
      <c r="B92">
        <v>90</v>
      </c>
      <c r="C92" t="s">
        <v>616</v>
      </c>
      <c r="D92">
        <v>3</v>
      </c>
      <c r="E92" s="4">
        <v>45133</v>
      </c>
    </row>
    <row r="93" spans="1:5" x14ac:dyDescent="0.45">
      <c r="A93">
        <v>92</v>
      </c>
      <c r="B93">
        <v>92</v>
      </c>
      <c r="C93" t="s">
        <v>617</v>
      </c>
      <c r="D93">
        <v>5</v>
      </c>
      <c r="E93" s="4">
        <v>45072</v>
      </c>
    </row>
    <row r="94" spans="1:5" x14ac:dyDescent="0.45">
      <c r="A94">
        <v>93</v>
      </c>
      <c r="B94">
        <v>92</v>
      </c>
      <c r="C94" t="s">
        <v>618</v>
      </c>
      <c r="D94">
        <v>1</v>
      </c>
      <c r="E94" s="4">
        <v>45072</v>
      </c>
    </row>
    <row r="95" spans="1:5" x14ac:dyDescent="0.45">
      <c r="A95">
        <v>94</v>
      </c>
      <c r="B95">
        <v>94</v>
      </c>
      <c r="C95" t="s">
        <v>619</v>
      </c>
      <c r="D95">
        <v>38</v>
      </c>
      <c r="E95" s="4">
        <v>45042</v>
      </c>
    </row>
    <row r="96" spans="1:5" x14ac:dyDescent="0.45">
      <c r="A96">
        <v>95</v>
      </c>
      <c r="B96">
        <v>95</v>
      </c>
      <c r="C96" t="s">
        <v>234</v>
      </c>
      <c r="D96">
        <v>2</v>
      </c>
      <c r="E96" s="4">
        <v>45011</v>
      </c>
    </row>
    <row r="97" spans="1:5" x14ac:dyDescent="0.45">
      <c r="A97">
        <v>96</v>
      </c>
      <c r="B97">
        <v>96</v>
      </c>
      <c r="C97" t="s">
        <v>620</v>
      </c>
      <c r="D97">
        <v>8</v>
      </c>
      <c r="E97" s="4">
        <v>44952</v>
      </c>
    </row>
    <row r="98" spans="1:5" x14ac:dyDescent="0.45">
      <c r="A98">
        <v>97</v>
      </c>
      <c r="B98">
        <v>96</v>
      </c>
      <c r="C98" t="s">
        <v>621</v>
      </c>
      <c r="D98">
        <v>1</v>
      </c>
      <c r="E98" s="4">
        <v>44952</v>
      </c>
    </row>
    <row r="99" spans="1:5" x14ac:dyDescent="0.45">
      <c r="A99">
        <v>98</v>
      </c>
      <c r="B99">
        <v>98</v>
      </c>
      <c r="C99" t="s">
        <v>306</v>
      </c>
      <c r="D99">
        <v>1</v>
      </c>
      <c r="E99" s="4">
        <v>45194</v>
      </c>
    </row>
    <row r="100" spans="1:5" x14ac:dyDescent="0.45">
      <c r="A100">
        <v>99</v>
      </c>
      <c r="B100">
        <v>99</v>
      </c>
      <c r="C100" t="s">
        <v>332</v>
      </c>
      <c r="D100">
        <v>39</v>
      </c>
      <c r="E100" s="4">
        <v>45163</v>
      </c>
    </row>
    <row r="101" spans="1:5" x14ac:dyDescent="0.45">
      <c r="A101">
        <v>100</v>
      </c>
      <c r="B101">
        <v>99</v>
      </c>
      <c r="C101" t="s">
        <v>622</v>
      </c>
      <c r="D101">
        <v>7</v>
      </c>
      <c r="E101" s="4">
        <v>45163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37BB6-24F3-4A56-82D9-C022073836C8}">
  <dimension ref="A1:R502"/>
  <sheetViews>
    <sheetView topLeftCell="A55" workbookViewId="0">
      <selection activeCell="B2" sqref="B2:B101"/>
    </sheetView>
  </sheetViews>
  <sheetFormatPr defaultRowHeight="14.25" x14ac:dyDescent="0.45"/>
  <cols>
    <col min="2" max="2" width="12.06640625" customWidth="1"/>
    <col min="3" max="3" width="50.06640625" bestFit="1" customWidth="1"/>
    <col min="4" max="4" width="26.53125" bestFit="1" customWidth="1"/>
    <col min="15" max="15" width="33.19921875" customWidth="1"/>
    <col min="16" max="16" width="25.265625" customWidth="1"/>
  </cols>
  <sheetData>
    <row r="1" spans="1:18" x14ac:dyDescent="0.45">
      <c r="A1" t="s">
        <v>851</v>
      </c>
      <c r="B1" t="s">
        <v>527</v>
      </c>
      <c r="C1" t="s">
        <v>528</v>
      </c>
      <c r="D1" t="s">
        <v>784</v>
      </c>
      <c r="E1" t="s">
        <v>785</v>
      </c>
      <c r="G1" t="s">
        <v>627</v>
      </c>
      <c r="M1" t="s">
        <v>787</v>
      </c>
      <c r="N1" t="s">
        <v>527</v>
      </c>
      <c r="O1" t="s">
        <v>528</v>
      </c>
      <c r="P1" t="s">
        <v>784</v>
      </c>
      <c r="Q1" t="s">
        <v>785</v>
      </c>
      <c r="R1" t="s">
        <v>786</v>
      </c>
    </row>
    <row r="2" spans="1:18" x14ac:dyDescent="0.45">
      <c r="A2">
        <v>1</v>
      </c>
      <c r="B2">
        <v>1</v>
      </c>
      <c r="C2" t="s">
        <v>493</v>
      </c>
      <c r="D2" t="s">
        <v>630</v>
      </c>
      <c r="E2">
        <v>100</v>
      </c>
      <c r="G2" t="s">
        <v>628</v>
      </c>
      <c r="M2">
        <v>1</v>
      </c>
      <c r="N2">
        <f t="shared" ref="N2:R11" si="0">INDEX($G$4:$G$502,(COLUMNS($N$1:$R$1)*(ROW()-ROW($M$2:$M$101)))+(COLUMN()-COLUMN($N$1:$R$1))+1,1)</f>
        <v>1</v>
      </c>
      <c r="O2" t="str">
        <f t="shared" si="0"/>
        <v>Massachusetts Institute of Technology (MIT)</v>
      </c>
      <c r="P2" t="str">
        <f t="shared" si="0"/>
        <v> Cambridge, United States</v>
      </c>
      <c r="Q2">
        <f t="shared" si="0"/>
        <v>100</v>
      </c>
      <c r="R2" t="str">
        <f t="shared" si="0"/>
        <v> Shortlist</v>
      </c>
    </row>
    <row r="3" spans="1:18" x14ac:dyDescent="0.45">
      <c r="A3">
        <v>2</v>
      </c>
      <c r="B3">
        <v>2</v>
      </c>
      <c r="C3" t="s">
        <v>15</v>
      </c>
      <c r="D3" t="s">
        <v>632</v>
      </c>
      <c r="E3" t="s">
        <v>384</v>
      </c>
      <c r="G3" t="s">
        <v>629</v>
      </c>
      <c r="M3">
        <v>2</v>
      </c>
      <c r="N3">
        <f t="shared" si="0"/>
        <v>2</v>
      </c>
      <c r="O3" t="str">
        <f t="shared" si="0"/>
        <v>University of Cambridge</v>
      </c>
      <c r="P3" t="str">
        <f t="shared" si="0"/>
        <v> Cambridge, United Kingdom</v>
      </c>
      <c r="Q3" t="str">
        <f t="shared" si="0"/>
        <v>98.8</v>
      </c>
      <c r="R3" t="str">
        <f t="shared" si="0"/>
        <v> Shortlist</v>
      </c>
    </row>
    <row r="4" spans="1:18" x14ac:dyDescent="0.45">
      <c r="A4">
        <v>3</v>
      </c>
      <c r="B4">
        <v>3</v>
      </c>
      <c r="C4" t="s">
        <v>21</v>
      </c>
      <c r="D4" t="s">
        <v>633</v>
      </c>
      <c r="E4" t="s">
        <v>634</v>
      </c>
      <c r="G4">
        <v>1</v>
      </c>
      <c r="M4">
        <v>3</v>
      </c>
      <c r="N4">
        <f t="shared" si="0"/>
        <v>3</v>
      </c>
      <c r="O4" t="str">
        <f t="shared" si="0"/>
        <v>Stanford University</v>
      </c>
      <c r="P4" t="str">
        <f t="shared" si="0"/>
        <v> Stanford, United States</v>
      </c>
      <c r="Q4" t="str">
        <f t="shared" si="0"/>
        <v>98.5</v>
      </c>
      <c r="R4" t="str">
        <f t="shared" si="0"/>
        <v> Shortlist</v>
      </c>
    </row>
    <row r="5" spans="1:18" x14ac:dyDescent="0.45">
      <c r="A5">
        <v>4</v>
      </c>
      <c r="B5">
        <v>4</v>
      </c>
      <c r="C5" t="s">
        <v>0</v>
      </c>
      <c r="D5" t="s">
        <v>635</v>
      </c>
      <c r="E5" t="s">
        <v>636</v>
      </c>
      <c r="G5" t="s">
        <v>493</v>
      </c>
      <c r="M5">
        <v>4</v>
      </c>
      <c r="N5">
        <f t="shared" si="0"/>
        <v>4</v>
      </c>
      <c r="O5" t="str">
        <f t="shared" si="0"/>
        <v>University of Oxford</v>
      </c>
      <c r="P5" t="str">
        <f t="shared" si="0"/>
        <v> Oxford, United Kingdom</v>
      </c>
      <c r="Q5" t="str">
        <f t="shared" si="0"/>
        <v>98.4</v>
      </c>
      <c r="R5" t="str">
        <f t="shared" si="0"/>
        <v> Shortlist</v>
      </c>
    </row>
    <row r="6" spans="1:18" x14ac:dyDescent="0.45">
      <c r="A6">
        <v>5</v>
      </c>
      <c r="B6">
        <v>5</v>
      </c>
      <c r="C6" t="s">
        <v>8</v>
      </c>
      <c r="D6" t="s">
        <v>630</v>
      </c>
      <c r="E6" t="s">
        <v>407</v>
      </c>
      <c r="G6" t="s">
        <v>630</v>
      </c>
      <c r="M6">
        <v>5</v>
      </c>
      <c r="N6">
        <f t="shared" si="0"/>
        <v>5</v>
      </c>
      <c r="O6" t="str">
        <f t="shared" si="0"/>
        <v>Harvard University</v>
      </c>
      <c r="P6" t="str">
        <f t="shared" si="0"/>
        <v> Cambridge, United States</v>
      </c>
      <c r="Q6" t="str">
        <f t="shared" si="0"/>
        <v>97.6</v>
      </c>
      <c r="R6" t="str">
        <f t="shared" si="0"/>
        <v> Shortlist</v>
      </c>
    </row>
    <row r="7" spans="1:18" x14ac:dyDescent="0.45">
      <c r="A7">
        <v>6</v>
      </c>
      <c r="B7">
        <v>6</v>
      </c>
      <c r="C7" t="s">
        <v>637</v>
      </c>
      <c r="D7" t="s">
        <v>638</v>
      </c>
      <c r="E7">
        <v>97</v>
      </c>
      <c r="G7">
        <v>100</v>
      </c>
      <c r="M7">
        <v>6</v>
      </c>
      <c r="N7">
        <f t="shared" si="0"/>
        <v>6</v>
      </c>
      <c r="O7" t="str">
        <f t="shared" si="0"/>
        <v>California Institute of Technology (Caltech)</v>
      </c>
      <c r="P7" t="str">
        <f t="shared" si="0"/>
        <v> Pasadena, United States</v>
      </c>
      <c r="Q7">
        <f t="shared" si="0"/>
        <v>97</v>
      </c>
      <c r="R7" t="str">
        <f t="shared" si="0"/>
        <v> Shortlist</v>
      </c>
    </row>
    <row r="8" spans="1:18" x14ac:dyDescent="0.45">
      <c r="A8">
        <v>7</v>
      </c>
      <c r="B8">
        <v>6</v>
      </c>
      <c r="C8" t="s">
        <v>54</v>
      </c>
      <c r="D8" t="s">
        <v>639</v>
      </c>
      <c r="E8">
        <v>97</v>
      </c>
      <c r="G8" t="s">
        <v>631</v>
      </c>
      <c r="M8">
        <v>7</v>
      </c>
      <c r="N8">
        <f t="shared" si="0"/>
        <v>6</v>
      </c>
      <c r="O8" t="str">
        <f t="shared" si="0"/>
        <v>Imperial College London</v>
      </c>
      <c r="P8" t="str">
        <f t="shared" si="0"/>
        <v> London, United Kingdom</v>
      </c>
      <c r="Q8">
        <f t="shared" si="0"/>
        <v>97</v>
      </c>
      <c r="R8" t="str">
        <f t="shared" si="0"/>
        <v> Shortlist</v>
      </c>
    </row>
    <row r="9" spans="1:18" x14ac:dyDescent="0.45">
      <c r="A9">
        <v>8</v>
      </c>
      <c r="B9">
        <v>8</v>
      </c>
      <c r="C9" t="s">
        <v>127</v>
      </c>
      <c r="D9" t="s">
        <v>639</v>
      </c>
      <c r="E9">
        <v>95</v>
      </c>
      <c r="G9">
        <v>2</v>
      </c>
      <c r="M9">
        <v>8</v>
      </c>
      <c r="N9">
        <f t="shared" si="0"/>
        <v>8</v>
      </c>
      <c r="O9" t="str">
        <f t="shared" si="0"/>
        <v>UCL</v>
      </c>
      <c r="P9" t="str">
        <f t="shared" si="0"/>
        <v> London, United Kingdom</v>
      </c>
      <c r="Q9">
        <f t="shared" si="0"/>
        <v>95</v>
      </c>
      <c r="R9" t="str">
        <f t="shared" si="0"/>
        <v> Shortlist</v>
      </c>
    </row>
    <row r="10" spans="1:18" x14ac:dyDescent="0.45">
      <c r="A10">
        <v>9</v>
      </c>
      <c r="B10">
        <v>9</v>
      </c>
      <c r="C10" t="s">
        <v>67</v>
      </c>
      <c r="D10" t="s">
        <v>640</v>
      </c>
      <c r="E10" t="s">
        <v>29</v>
      </c>
      <c r="G10" t="s">
        <v>15</v>
      </c>
      <c r="M10">
        <v>9</v>
      </c>
      <c r="N10">
        <f t="shared" si="0"/>
        <v>9</v>
      </c>
      <c r="O10" t="str">
        <f t="shared" si="0"/>
        <v>ETH Zurich</v>
      </c>
      <c r="P10" t="str">
        <f t="shared" si="0"/>
        <v> Zürich, Switzerland</v>
      </c>
      <c r="Q10" t="str">
        <f t="shared" si="0"/>
        <v>93.6</v>
      </c>
      <c r="R10" t="str">
        <f t="shared" si="0"/>
        <v> Shortlist</v>
      </c>
    </row>
    <row r="11" spans="1:18" x14ac:dyDescent="0.45">
      <c r="A11">
        <v>10</v>
      </c>
      <c r="B11">
        <v>10</v>
      </c>
      <c r="C11" t="s">
        <v>501</v>
      </c>
      <c r="D11" t="s">
        <v>641</v>
      </c>
      <c r="E11" t="s">
        <v>295</v>
      </c>
      <c r="G11" t="s">
        <v>632</v>
      </c>
      <c r="M11">
        <v>10</v>
      </c>
      <c r="N11">
        <f t="shared" si="0"/>
        <v>10</v>
      </c>
      <c r="O11" t="str">
        <f t="shared" si="0"/>
        <v>University of Chicago</v>
      </c>
      <c r="P11" t="str">
        <f t="shared" si="0"/>
        <v> Chicago, United States</v>
      </c>
      <c r="Q11" t="str">
        <f t="shared" si="0"/>
        <v>93.2</v>
      </c>
      <c r="R11" t="str">
        <f t="shared" si="0"/>
        <v> Shortlist</v>
      </c>
    </row>
    <row r="12" spans="1:18" x14ac:dyDescent="0.45">
      <c r="A12">
        <v>11</v>
      </c>
      <c r="B12">
        <v>11</v>
      </c>
      <c r="C12" t="s">
        <v>642</v>
      </c>
      <c r="D12" t="s">
        <v>643</v>
      </c>
      <c r="E12" t="s">
        <v>51</v>
      </c>
      <c r="G12" t="s">
        <v>384</v>
      </c>
      <c r="M12">
        <v>11</v>
      </c>
      <c r="N12">
        <f t="shared" ref="N12:R21" si="1">INDEX($G$4:$G$502,(COLUMNS($N$1:$R$1)*(ROW()-ROW($M$2:$M$101)))+(COLUMN()-COLUMN($N$1:$R$1))+1,1)</f>
        <v>11</v>
      </c>
      <c r="O12" t="str">
        <f t="shared" si="1"/>
        <v>National University of Singapore (NUS)</v>
      </c>
      <c r="P12" t="str">
        <f t="shared" si="1"/>
        <v> Singapore, Singapore</v>
      </c>
      <c r="Q12" t="str">
        <f t="shared" si="1"/>
        <v>92.7</v>
      </c>
      <c r="R12" t="str">
        <f t="shared" si="1"/>
        <v> Shortlist</v>
      </c>
    </row>
    <row r="13" spans="1:18" x14ac:dyDescent="0.45">
      <c r="A13">
        <v>12</v>
      </c>
      <c r="B13">
        <v>12</v>
      </c>
      <c r="C13" t="s">
        <v>97</v>
      </c>
      <c r="D13" t="s">
        <v>644</v>
      </c>
      <c r="E13" t="s">
        <v>299</v>
      </c>
      <c r="G13" t="s">
        <v>631</v>
      </c>
      <c r="M13">
        <v>12</v>
      </c>
      <c r="N13">
        <f t="shared" si="1"/>
        <v>12</v>
      </c>
      <c r="O13" t="str">
        <f t="shared" si="1"/>
        <v>Peking University</v>
      </c>
      <c r="P13" t="str">
        <f t="shared" si="1"/>
        <v> Beijing, China (Mainland)</v>
      </c>
      <c r="Q13" t="str">
        <f t="shared" si="1"/>
        <v>91.3</v>
      </c>
      <c r="R13" t="str">
        <f t="shared" si="1"/>
        <v> Shortlist</v>
      </c>
    </row>
    <row r="14" spans="1:18" x14ac:dyDescent="0.45">
      <c r="A14">
        <v>13</v>
      </c>
      <c r="B14">
        <v>13</v>
      </c>
      <c r="C14" t="s">
        <v>79</v>
      </c>
      <c r="D14" t="s">
        <v>645</v>
      </c>
      <c r="E14" t="s">
        <v>305</v>
      </c>
      <c r="G14">
        <v>3</v>
      </c>
      <c r="M14">
        <v>13</v>
      </c>
      <c r="N14">
        <f t="shared" si="1"/>
        <v>13</v>
      </c>
      <c r="O14" t="str">
        <f t="shared" si="1"/>
        <v>University of Pennsylvania</v>
      </c>
      <c r="P14" t="str">
        <f t="shared" si="1"/>
        <v> Philadelphia, United States</v>
      </c>
      <c r="Q14" t="str">
        <f t="shared" si="1"/>
        <v>90.6</v>
      </c>
      <c r="R14" t="str">
        <f t="shared" si="1"/>
        <v> Shortlist</v>
      </c>
    </row>
    <row r="15" spans="1:18" x14ac:dyDescent="0.45">
      <c r="A15">
        <v>14</v>
      </c>
      <c r="B15">
        <v>14</v>
      </c>
      <c r="C15" t="s">
        <v>89</v>
      </c>
      <c r="D15" t="s">
        <v>644</v>
      </c>
      <c r="E15" t="s">
        <v>92</v>
      </c>
      <c r="G15" t="s">
        <v>21</v>
      </c>
      <c r="M15">
        <v>14</v>
      </c>
      <c r="N15">
        <f t="shared" si="1"/>
        <v>14</v>
      </c>
      <c r="O15" t="str">
        <f t="shared" si="1"/>
        <v>Tsinghua University</v>
      </c>
      <c r="P15" t="str">
        <f t="shared" si="1"/>
        <v> Beijing, China (Mainland)</v>
      </c>
      <c r="Q15" t="str">
        <f t="shared" si="1"/>
        <v>90.1</v>
      </c>
      <c r="R15" t="str">
        <f t="shared" si="1"/>
        <v> Shortlist</v>
      </c>
    </row>
    <row r="16" spans="1:18" x14ac:dyDescent="0.45">
      <c r="A16">
        <v>15</v>
      </c>
      <c r="B16">
        <v>15</v>
      </c>
      <c r="C16" t="s">
        <v>537</v>
      </c>
      <c r="D16" t="s">
        <v>646</v>
      </c>
      <c r="E16" t="s">
        <v>87</v>
      </c>
      <c r="G16" t="s">
        <v>633</v>
      </c>
      <c r="M16">
        <v>15</v>
      </c>
      <c r="N16">
        <f t="shared" si="1"/>
        <v>15</v>
      </c>
      <c r="O16" t="str">
        <f t="shared" si="1"/>
        <v>The University of Edinburgh</v>
      </c>
      <c r="P16" t="str">
        <f t="shared" si="1"/>
        <v> Edinburgh, United Kingdom</v>
      </c>
      <c r="Q16" t="str">
        <f t="shared" si="1"/>
        <v>89.5</v>
      </c>
      <c r="R16" t="str">
        <f t="shared" si="1"/>
        <v> Shortlist</v>
      </c>
    </row>
    <row r="17" spans="1:18" x14ac:dyDescent="0.45">
      <c r="A17">
        <v>16</v>
      </c>
      <c r="B17">
        <v>16</v>
      </c>
      <c r="C17" t="s">
        <v>647</v>
      </c>
      <c r="D17" t="s">
        <v>648</v>
      </c>
      <c r="E17" t="s">
        <v>649</v>
      </c>
      <c r="G17" t="s">
        <v>634</v>
      </c>
      <c r="M17">
        <v>16</v>
      </c>
      <c r="N17">
        <f t="shared" si="1"/>
        <v>16</v>
      </c>
      <c r="O17" t="str">
        <f t="shared" si="1"/>
        <v>EPFL</v>
      </c>
      <c r="P17" t="str">
        <f t="shared" si="1"/>
        <v> Lausanne, Switzerland</v>
      </c>
      <c r="Q17" t="str">
        <f t="shared" si="1"/>
        <v>89.2</v>
      </c>
      <c r="R17" t="str">
        <f t="shared" si="1"/>
        <v> Shortlist</v>
      </c>
    </row>
    <row r="18" spans="1:18" x14ac:dyDescent="0.45">
      <c r="A18">
        <v>17</v>
      </c>
      <c r="B18">
        <v>16</v>
      </c>
      <c r="C18" t="s">
        <v>36</v>
      </c>
      <c r="D18" t="s">
        <v>650</v>
      </c>
      <c r="E18" t="s">
        <v>649</v>
      </c>
      <c r="G18" t="s">
        <v>631</v>
      </c>
      <c r="M18">
        <v>17</v>
      </c>
      <c r="N18">
        <f t="shared" si="1"/>
        <v>16</v>
      </c>
      <c r="O18" t="str">
        <f t="shared" si="1"/>
        <v>Princeton University</v>
      </c>
      <c r="P18" t="str">
        <f t="shared" si="1"/>
        <v> Princeton, United States</v>
      </c>
      <c r="Q18" t="str">
        <f t="shared" si="1"/>
        <v>89.2</v>
      </c>
      <c r="R18" t="str">
        <f t="shared" si="1"/>
        <v> Shortlist</v>
      </c>
    </row>
    <row r="19" spans="1:18" x14ac:dyDescent="0.45">
      <c r="A19">
        <v>18</v>
      </c>
      <c r="B19">
        <v>18</v>
      </c>
      <c r="C19" t="s">
        <v>48</v>
      </c>
      <c r="D19" t="s">
        <v>651</v>
      </c>
      <c r="E19">
        <v>89</v>
      </c>
      <c r="G19">
        <v>4</v>
      </c>
      <c r="M19">
        <v>18</v>
      </c>
      <c r="N19">
        <f t="shared" si="1"/>
        <v>18</v>
      </c>
      <c r="O19" t="str">
        <f t="shared" si="1"/>
        <v>Yale University</v>
      </c>
      <c r="P19" t="str">
        <f t="shared" si="1"/>
        <v> New Haven, United States</v>
      </c>
      <c r="Q19">
        <f t="shared" si="1"/>
        <v>89</v>
      </c>
      <c r="R19" t="str">
        <f t="shared" si="1"/>
        <v> Shortlist</v>
      </c>
    </row>
    <row r="20" spans="1:18" x14ac:dyDescent="0.45">
      <c r="A20">
        <v>19</v>
      </c>
      <c r="B20">
        <v>19</v>
      </c>
      <c r="C20" t="s">
        <v>652</v>
      </c>
      <c r="D20" t="s">
        <v>643</v>
      </c>
      <c r="E20" t="s">
        <v>653</v>
      </c>
      <c r="G20" t="s">
        <v>0</v>
      </c>
      <c r="M20">
        <v>19</v>
      </c>
      <c r="N20">
        <f t="shared" si="1"/>
        <v>19</v>
      </c>
      <c r="O20" t="str">
        <f t="shared" si="1"/>
        <v>Nanyang Technological University, Singapore (NTU Singapore)</v>
      </c>
      <c r="P20" t="str">
        <f t="shared" si="1"/>
        <v> Singapore, Singapore</v>
      </c>
      <c r="Q20" t="str">
        <f t="shared" si="1"/>
        <v>88.4</v>
      </c>
      <c r="R20" t="str">
        <f t="shared" si="1"/>
        <v> Shortlist</v>
      </c>
    </row>
    <row r="21" spans="1:18" x14ac:dyDescent="0.45">
      <c r="A21">
        <v>20</v>
      </c>
      <c r="B21">
        <v>20</v>
      </c>
      <c r="C21" t="s">
        <v>118</v>
      </c>
      <c r="D21" t="s">
        <v>654</v>
      </c>
      <c r="E21" t="s">
        <v>209</v>
      </c>
      <c r="G21" t="s">
        <v>635</v>
      </c>
      <c r="M21">
        <v>20</v>
      </c>
      <c r="N21">
        <f t="shared" si="1"/>
        <v>20</v>
      </c>
      <c r="O21" t="str">
        <f t="shared" si="1"/>
        <v>Cornell University</v>
      </c>
      <c r="P21" t="str">
        <f t="shared" si="1"/>
        <v> Ithaca, United States</v>
      </c>
      <c r="Q21" t="str">
        <f t="shared" si="1"/>
        <v>87.2</v>
      </c>
      <c r="R21" t="str">
        <f t="shared" si="1"/>
        <v> Shortlist</v>
      </c>
    </row>
    <row r="22" spans="1:18" x14ac:dyDescent="0.45">
      <c r="A22">
        <v>21</v>
      </c>
      <c r="B22">
        <v>21</v>
      </c>
      <c r="C22" t="s">
        <v>621</v>
      </c>
      <c r="D22" t="s">
        <v>655</v>
      </c>
      <c r="E22">
        <v>87</v>
      </c>
      <c r="G22" t="s">
        <v>636</v>
      </c>
      <c r="M22">
        <v>21</v>
      </c>
      <c r="N22">
        <f t="shared" ref="N22:R31" si="2">INDEX($G$4:$G$502,(COLUMNS($N$1:$R$1)*(ROW()-ROW($M$2:$M$101)))+(COLUMN()-COLUMN($N$1:$R$1))+1,1)</f>
        <v>21</v>
      </c>
      <c r="O22" t="str">
        <f t="shared" si="2"/>
        <v>The University of Hong Kong</v>
      </c>
      <c r="P22" t="str">
        <f t="shared" si="2"/>
        <v> Hong Kong, Hong Kong SAR</v>
      </c>
      <c r="Q22">
        <f t="shared" si="2"/>
        <v>87</v>
      </c>
      <c r="R22" t="str">
        <f t="shared" si="2"/>
        <v> Shortlist</v>
      </c>
    </row>
    <row r="23" spans="1:18" x14ac:dyDescent="0.45">
      <c r="A23">
        <v>22</v>
      </c>
      <c r="B23">
        <v>22</v>
      </c>
      <c r="C23" t="s">
        <v>61</v>
      </c>
      <c r="D23" t="s">
        <v>656</v>
      </c>
      <c r="E23" t="s">
        <v>223</v>
      </c>
      <c r="G23" t="s">
        <v>631</v>
      </c>
      <c r="M23">
        <v>22</v>
      </c>
      <c r="N23">
        <f t="shared" si="2"/>
        <v>22</v>
      </c>
      <c r="O23" t="str">
        <f t="shared" si="2"/>
        <v>Columbia University</v>
      </c>
      <c r="P23" t="str">
        <f t="shared" si="2"/>
        <v> New York City, United States</v>
      </c>
      <c r="Q23" t="str">
        <f t="shared" si="2"/>
        <v>86.7</v>
      </c>
      <c r="R23" t="str">
        <f t="shared" si="2"/>
        <v> Shortlist</v>
      </c>
    </row>
    <row r="24" spans="1:18" x14ac:dyDescent="0.45">
      <c r="A24">
        <v>23</v>
      </c>
      <c r="B24">
        <v>23</v>
      </c>
      <c r="C24" t="s">
        <v>220</v>
      </c>
      <c r="D24" t="s">
        <v>657</v>
      </c>
      <c r="E24" t="s">
        <v>658</v>
      </c>
      <c r="G24">
        <v>5</v>
      </c>
      <c r="M24">
        <v>23</v>
      </c>
      <c r="N24">
        <f t="shared" si="2"/>
        <v>23</v>
      </c>
      <c r="O24" t="str">
        <f t="shared" si="2"/>
        <v>The University of Tokyo</v>
      </c>
      <c r="P24" t="str">
        <f t="shared" si="2"/>
        <v> Tokyo, Japan</v>
      </c>
      <c r="Q24" t="str">
        <f t="shared" si="2"/>
        <v>85.3</v>
      </c>
      <c r="R24" t="str">
        <f t="shared" si="2"/>
        <v> Shortlist</v>
      </c>
    </row>
    <row r="25" spans="1:18" x14ac:dyDescent="0.45">
      <c r="A25">
        <v>24</v>
      </c>
      <c r="B25">
        <v>24</v>
      </c>
      <c r="C25" t="s">
        <v>83</v>
      </c>
      <c r="D25" t="s">
        <v>659</v>
      </c>
      <c r="E25" t="s">
        <v>660</v>
      </c>
      <c r="G25" t="s">
        <v>8</v>
      </c>
      <c r="M25">
        <v>24</v>
      </c>
      <c r="N25">
        <f t="shared" si="2"/>
        <v>24</v>
      </c>
      <c r="O25" t="str">
        <f t="shared" si="2"/>
        <v>Johns Hopkins University</v>
      </c>
      <c r="P25" t="str">
        <f t="shared" si="2"/>
        <v> Baltimore, United States</v>
      </c>
      <c r="Q25" t="str">
        <f t="shared" si="2"/>
        <v>85.1</v>
      </c>
      <c r="R25" t="str">
        <f t="shared" si="2"/>
        <v> Shortlist</v>
      </c>
    </row>
    <row r="26" spans="1:18" x14ac:dyDescent="0.45">
      <c r="A26">
        <v>25</v>
      </c>
      <c r="B26">
        <v>25</v>
      </c>
      <c r="C26" t="s">
        <v>133</v>
      </c>
      <c r="D26" t="s">
        <v>661</v>
      </c>
      <c r="E26" t="s">
        <v>662</v>
      </c>
      <c r="G26" t="s">
        <v>630</v>
      </c>
      <c r="M26">
        <v>25</v>
      </c>
      <c r="N26">
        <f t="shared" si="2"/>
        <v>25</v>
      </c>
      <c r="O26" t="str">
        <f t="shared" si="2"/>
        <v>University of Michigan-Ann Arbor</v>
      </c>
      <c r="P26" t="str">
        <f t="shared" si="2"/>
        <v> Ann Arbor, United States</v>
      </c>
      <c r="Q26" t="str">
        <f t="shared" si="2"/>
        <v>84.4</v>
      </c>
      <c r="R26" t="str">
        <f t="shared" si="2"/>
        <v> Shortlist</v>
      </c>
    </row>
    <row r="27" spans="1:18" x14ac:dyDescent="0.45">
      <c r="A27">
        <v>26</v>
      </c>
      <c r="B27">
        <v>26</v>
      </c>
      <c r="C27" t="s">
        <v>663</v>
      </c>
      <c r="D27" t="s">
        <v>664</v>
      </c>
      <c r="E27" t="s">
        <v>665</v>
      </c>
      <c r="G27" t="s">
        <v>407</v>
      </c>
      <c r="M27">
        <v>26</v>
      </c>
      <c r="N27">
        <f t="shared" si="2"/>
        <v>26</v>
      </c>
      <c r="O27" t="str">
        <f t="shared" si="2"/>
        <v>Université PSL</v>
      </c>
      <c r="P27" t="str">
        <f t="shared" si="2"/>
        <v> Paris, France</v>
      </c>
      <c r="Q27" t="str">
        <f t="shared" si="2"/>
        <v>83.8</v>
      </c>
      <c r="R27" t="str">
        <f t="shared" si="2"/>
        <v> Shortlist</v>
      </c>
    </row>
    <row r="28" spans="1:18" x14ac:dyDescent="0.45">
      <c r="A28">
        <v>27</v>
      </c>
      <c r="B28">
        <v>27</v>
      </c>
      <c r="C28" t="s">
        <v>666</v>
      </c>
      <c r="D28" t="s">
        <v>667</v>
      </c>
      <c r="E28" t="s">
        <v>140</v>
      </c>
      <c r="G28" t="s">
        <v>631</v>
      </c>
      <c r="M28">
        <v>27</v>
      </c>
      <c r="N28">
        <f t="shared" si="2"/>
        <v>27</v>
      </c>
      <c r="O28" t="str">
        <f t="shared" si="2"/>
        <v>University of California, Berkeley (UCB)</v>
      </c>
      <c r="P28" t="str">
        <f t="shared" si="2"/>
        <v> Berkeley, United States</v>
      </c>
      <c r="Q28" t="str">
        <f t="shared" si="2"/>
        <v>82.7</v>
      </c>
      <c r="R28" t="str">
        <f t="shared" si="2"/>
        <v> Shortlist</v>
      </c>
    </row>
    <row r="29" spans="1:18" x14ac:dyDescent="0.45">
      <c r="A29">
        <v>28</v>
      </c>
      <c r="B29">
        <v>28</v>
      </c>
      <c r="C29" t="s">
        <v>543</v>
      </c>
      <c r="D29" t="s">
        <v>668</v>
      </c>
      <c r="E29" t="s">
        <v>669</v>
      </c>
      <c r="G29">
        <f>6</f>
        <v>6</v>
      </c>
      <c r="M29">
        <v>28</v>
      </c>
      <c r="N29">
        <f t="shared" si="2"/>
        <v>28</v>
      </c>
      <c r="O29" t="str">
        <f t="shared" si="2"/>
        <v>The University of Manchester</v>
      </c>
      <c r="P29" t="str">
        <f t="shared" si="2"/>
        <v> Manchester, United Kingdom</v>
      </c>
      <c r="Q29" t="str">
        <f t="shared" si="2"/>
        <v>82.3</v>
      </c>
      <c r="R29" t="str">
        <f t="shared" si="2"/>
        <v> Shortlist</v>
      </c>
    </row>
    <row r="30" spans="1:18" x14ac:dyDescent="0.45">
      <c r="A30">
        <v>29</v>
      </c>
      <c r="B30">
        <v>29</v>
      </c>
      <c r="C30" t="s">
        <v>306</v>
      </c>
      <c r="D30" t="s">
        <v>670</v>
      </c>
      <c r="E30" t="s">
        <v>176</v>
      </c>
      <c r="G30" t="s">
        <v>637</v>
      </c>
      <c r="M30">
        <v>29</v>
      </c>
      <c r="N30">
        <f t="shared" si="2"/>
        <v>29</v>
      </c>
      <c r="O30" t="str">
        <f t="shared" si="2"/>
        <v>Seoul National University</v>
      </c>
      <c r="P30" t="str">
        <f t="shared" si="2"/>
        <v> Seoul, South Korea</v>
      </c>
      <c r="Q30" t="str">
        <f t="shared" si="2"/>
        <v>82.2</v>
      </c>
      <c r="R30" t="str">
        <f t="shared" si="2"/>
        <v> Shortlist</v>
      </c>
    </row>
    <row r="31" spans="1:18" x14ac:dyDescent="0.45">
      <c r="A31">
        <v>30</v>
      </c>
      <c r="B31">
        <v>30</v>
      </c>
      <c r="C31" t="s">
        <v>671</v>
      </c>
      <c r="D31" t="s">
        <v>672</v>
      </c>
      <c r="E31" t="s">
        <v>152</v>
      </c>
      <c r="G31" t="s">
        <v>638</v>
      </c>
      <c r="M31">
        <v>30</v>
      </c>
      <c r="N31">
        <f t="shared" si="2"/>
        <v>30</v>
      </c>
      <c r="O31" t="str">
        <f t="shared" si="2"/>
        <v>Australian National University (ANU)</v>
      </c>
      <c r="P31" t="str">
        <f t="shared" si="2"/>
        <v> Canberra, Australia</v>
      </c>
      <c r="Q31" t="str">
        <f t="shared" si="2"/>
        <v>82.1</v>
      </c>
      <c r="R31" t="str">
        <f t="shared" si="2"/>
        <v> Shortlist</v>
      </c>
    </row>
    <row r="32" spans="1:18" x14ac:dyDescent="0.45">
      <c r="A32">
        <v>31</v>
      </c>
      <c r="B32">
        <v>31</v>
      </c>
      <c r="C32" t="s">
        <v>253</v>
      </c>
      <c r="D32" t="s">
        <v>673</v>
      </c>
      <c r="E32" t="s">
        <v>674</v>
      </c>
      <c r="G32">
        <v>97</v>
      </c>
      <c r="M32">
        <v>31</v>
      </c>
      <c r="N32">
        <f t="shared" ref="N32:R41" si="3">INDEX($G$4:$G$502,(COLUMNS($N$1:$R$1)*(ROW()-ROW($M$2:$M$101)))+(COLUMN()-COLUMN($N$1:$R$1))+1,1)</f>
        <v>31</v>
      </c>
      <c r="O32" t="str">
        <f t="shared" si="3"/>
        <v>McGill University</v>
      </c>
      <c r="P32" t="str">
        <f t="shared" si="3"/>
        <v> Montreal, Canada</v>
      </c>
      <c r="Q32" t="str">
        <f t="shared" si="3"/>
        <v>81.9</v>
      </c>
      <c r="R32" t="str">
        <f t="shared" si="3"/>
        <v> Shortlist</v>
      </c>
    </row>
    <row r="33" spans="1:18" x14ac:dyDescent="0.45">
      <c r="A33">
        <v>32</v>
      </c>
      <c r="B33">
        <v>32</v>
      </c>
      <c r="C33" t="s">
        <v>151</v>
      </c>
      <c r="D33" t="s">
        <v>675</v>
      </c>
      <c r="E33" t="s">
        <v>165</v>
      </c>
      <c r="G33" t="s">
        <v>631</v>
      </c>
      <c r="M33">
        <v>32</v>
      </c>
      <c r="N33">
        <f t="shared" si="3"/>
        <v>32</v>
      </c>
      <c r="O33" t="str">
        <f t="shared" si="3"/>
        <v>Northwestern University</v>
      </c>
      <c r="P33" t="str">
        <f t="shared" si="3"/>
        <v> Evanston, United States</v>
      </c>
      <c r="Q33" t="str">
        <f t="shared" si="3"/>
        <v>81.8</v>
      </c>
      <c r="R33" t="str">
        <f t="shared" si="3"/>
        <v> Shortlist</v>
      </c>
    </row>
    <row r="34" spans="1:18" x14ac:dyDescent="0.45">
      <c r="A34">
        <v>33</v>
      </c>
      <c r="B34">
        <v>33</v>
      </c>
      <c r="C34" t="s">
        <v>533</v>
      </c>
      <c r="D34" t="s">
        <v>676</v>
      </c>
      <c r="E34" t="s">
        <v>677</v>
      </c>
      <c r="G34">
        <f>6</f>
        <v>6</v>
      </c>
      <c r="M34">
        <v>33</v>
      </c>
      <c r="N34">
        <f t="shared" si="3"/>
        <v>33</v>
      </c>
      <c r="O34" t="str">
        <f t="shared" si="3"/>
        <v>The University of Melbourne</v>
      </c>
      <c r="P34" t="str">
        <f t="shared" si="3"/>
        <v> Parkville, Australia</v>
      </c>
      <c r="Q34" t="str">
        <f t="shared" si="3"/>
        <v>81.6</v>
      </c>
      <c r="R34" t="str">
        <f t="shared" si="3"/>
        <v> Shortlist</v>
      </c>
    </row>
    <row r="35" spans="1:18" x14ac:dyDescent="0.45">
      <c r="A35">
        <v>34</v>
      </c>
      <c r="B35">
        <v>34</v>
      </c>
      <c r="C35" t="s">
        <v>282</v>
      </c>
      <c r="D35" t="s">
        <v>678</v>
      </c>
      <c r="E35" t="s">
        <v>679</v>
      </c>
      <c r="G35" t="s">
        <v>54</v>
      </c>
      <c r="M35">
        <v>34</v>
      </c>
      <c r="N35">
        <f t="shared" si="3"/>
        <v>34</v>
      </c>
      <c r="O35" t="str">
        <f t="shared" si="3"/>
        <v>Fudan University</v>
      </c>
      <c r="P35" t="str">
        <f t="shared" si="3"/>
        <v> Shanghai, China (Mainland)</v>
      </c>
      <c r="Q35" t="str">
        <f t="shared" si="3"/>
        <v>81.5</v>
      </c>
      <c r="R35" t="str">
        <f t="shared" si="3"/>
        <v> Shortlist</v>
      </c>
    </row>
    <row r="36" spans="1:18" x14ac:dyDescent="0.45">
      <c r="A36">
        <v>35</v>
      </c>
      <c r="B36">
        <v>34</v>
      </c>
      <c r="C36" t="s">
        <v>102</v>
      </c>
      <c r="D36" t="s">
        <v>680</v>
      </c>
      <c r="E36" t="s">
        <v>679</v>
      </c>
      <c r="G36" t="s">
        <v>639</v>
      </c>
      <c r="M36">
        <v>35</v>
      </c>
      <c r="N36">
        <f t="shared" si="3"/>
        <v>34</v>
      </c>
      <c r="O36" t="str">
        <f t="shared" si="3"/>
        <v>University of Toronto</v>
      </c>
      <c r="P36" t="str">
        <f t="shared" si="3"/>
        <v> Toronto, Canada</v>
      </c>
      <c r="Q36" t="str">
        <f t="shared" si="3"/>
        <v>81.5</v>
      </c>
      <c r="R36" t="str">
        <f t="shared" si="3"/>
        <v> Shortlist</v>
      </c>
    </row>
    <row r="37" spans="1:18" x14ac:dyDescent="0.45">
      <c r="A37">
        <v>36</v>
      </c>
      <c r="B37">
        <v>36</v>
      </c>
      <c r="C37" t="s">
        <v>360</v>
      </c>
      <c r="D37" t="s">
        <v>681</v>
      </c>
      <c r="E37" t="s">
        <v>682</v>
      </c>
      <c r="G37">
        <v>97</v>
      </c>
      <c r="M37">
        <v>36</v>
      </c>
      <c r="N37">
        <f t="shared" si="3"/>
        <v>36</v>
      </c>
      <c r="O37" t="str">
        <f t="shared" si="3"/>
        <v>Kyoto University</v>
      </c>
      <c r="P37" t="str">
        <f t="shared" si="3"/>
        <v> Kyoto, Japan</v>
      </c>
      <c r="Q37" t="str">
        <f t="shared" si="3"/>
        <v>81.4</v>
      </c>
      <c r="R37" t="str">
        <f t="shared" si="3"/>
        <v> Shortlist</v>
      </c>
    </row>
    <row r="38" spans="1:18" x14ac:dyDescent="0.45">
      <c r="A38">
        <v>37</v>
      </c>
      <c r="B38">
        <v>37</v>
      </c>
      <c r="C38" t="s">
        <v>558</v>
      </c>
      <c r="D38" t="s">
        <v>639</v>
      </c>
      <c r="E38" t="s">
        <v>219</v>
      </c>
      <c r="G38" t="s">
        <v>631</v>
      </c>
      <c r="M38">
        <v>37</v>
      </c>
      <c r="N38">
        <f t="shared" si="3"/>
        <v>37</v>
      </c>
      <c r="O38" t="str">
        <f t="shared" si="3"/>
        <v>King's College London</v>
      </c>
      <c r="P38" t="str">
        <f t="shared" si="3"/>
        <v> London, United Kingdom</v>
      </c>
      <c r="Q38" t="str">
        <f t="shared" si="3"/>
        <v>81.2</v>
      </c>
      <c r="R38" t="str">
        <f t="shared" si="3"/>
        <v> Shortlist</v>
      </c>
    </row>
    <row r="39" spans="1:18" x14ac:dyDescent="0.45">
      <c r="A39">
        <v>38</v>
      </c>
      <c r="B39">
        <v>38</v>
      </c>
      <c r="C39" t="s">
        <v>683</v>
      </c>
      <c r="D39" t="s">
        <v>684</v>
      </c>
      <c r="E39" t="s">
        <v>685</v>
      </c>
      <c r="G39">
        <v>8</v>
      </c>
      <c r="M39">
        <v>38</v>
      </c>
      <c r="N39">
        <f t="shared" si="3"/>
        <v>38</v>
      </c>
      <c r="O39" t="str">
        <f t="shared" si="3"/>
        <v>The Chinese University of Hong Kong (CUHK)</v>
      </c>
      <c r="P39" t="str">
        <f t="shared" si="3"/>
        <v> Hong Kong SAR, Hong Kong SAR</v>
      </c>
      <c r="Q39" t="str">
        <f t="shared" si="3"/>
        <v>80.6</v>
      </c>
      <c r="R39" t="str">
        <f t="shared" si="3"/>
        <v> Shortlist</v>
      </c>
    </row>
    <row r="40" spans="1:18" x14ac:dyDescent="0.45">
      <c r="A40">
        <v>39</v>
      </c>
      <c r="B40">
        <v>39</v>
      </c>
      <c r="C40" t="s">
        <v>686</v>
      </c>
      <c r="D40" t="s">
        <v>656</v>
      </c>
      <c r="E40" t="s">
        <v>42</v>
      </c>
      <c r="G40" t="s">
        <v>127</v>
      </c>
      <c r="M40">
        <v>39</v>
      </c>
      <c r="N40">
        <f t="shared" si="3"/>
        <v>39</v>
      </c>
      <c r="O40" t="str">
        <f t="shared" si="3"/>
        <v>New York University (NYU)</v>
      </c>
      <c r="P40" t="str">
        <f t="shared" si="3"/>
        <v> New York City, United States</v>
      </c>
      <c r="Q40" t="str">
        <f t="shared" si="3"/>
        <v>80.3</v>
      </c>
      <c r="R40" t="str">
        <f t="shared" si="3"/>
        <v> Shortlist</v>
      </c>
    </row>
    <row r="41" spans="1:18" x14ac:dyDescent="0.45">
      <c r="A41">
        <v>40</v>
      </c>
      <c r="B41">
        <v>40</v>
      </c>
      <c r="C41" t="s">
        <v>319</v>
      </c>
      <c r="D41" t="s">
        <v>684</v>
      </c>
      <c r="E41" t="s">
        <v>26</v>
      </c>
      <c r="G41" t="s">
        <v>639</v>
      </c>
      <c r="M41">
        <v>40</v>
      </c>
      <c r="N41">
        <f t="shared" si="3"/>
        <v>40</v>
      </c>
      <c r="O41" t="str">
        <f t="shared" si="3"/>
        <v>The Hong Kong University of Science and Technology</v>
      </c>
      <c r="P41" t="str">
        <f t="shared" si="3"/>
        <v> Hong Kong SAR, Hong Kong SAR</v>
      </c>
      <c r="Q41" t="str">
        <f t="shared" si="3"/>
        <v>79.8</v>
      </c>
      <c r="R41" t="str">
        <f t="shared" si="3"/>
        <v> Shortlist</v>
      </c>
    </row>
    <row r="42" spans="1:18" x14ac:dyDescent="0.45">
      <c r="A42">
        <v>41</v>
      </c>
      <c r="B42">
        <v>41</v>
      </c>
      <c r="C42" t="s">
        <v>301</v>
      </c>
      <c r="D42" t="s">
        <v>687</v>
      </c>
      <c r="E42" t="s">
        <v>688</v>
      </c>
      <c r="G42">
        <v>95</v>
      </c>
      <c r="M42">
        <v>41</v>
      </c>
      <c r="N42">
        <f t="shared" ref="N42:R51" si="4">INDEX($G$4:$G$502,(COLUMNS($N$1:$R$1)*(ROW()-ROW($M$2:$M$101)))+(COLUMN()-COLUMN($N$1:$R$1))+1,1)</f>
        <v>41</v>
      </c>
      <c r="O42" t="str">
        <f t="shared" si="4"/>
        <v>The University of Sydney</v>
      </c>
      <c r="P42" t="str">
        <f t="shared" si="4"/>
        <v> Sydney, Australia</v>
      </c>
      <c r="Q42" t="str">
        <f t="shared" si="4"/>
        <v>79.6</v>
      </c>
      <c r="R42" t="str">
        <f t="shared" si="4"/>
        <v> Shortlist</v>
      </c>
    </row>
    <row r="43" spans="1:18" x14ac:dyDescent="0.45">
      <c r="A43">
        <v>42</v>
      </c>
      <c r="B43">
        <v>42</v>
      </c>
      <c r="C43" t="s">
        <v>689</v>
      </c>
      <c r="D43" t="s">
        <v>690</v>
      </c>
      <c r="E43" t="s">
        <v>135</v>
      </c>
      <c r="G43" t="s">
        <v>631</v>
      </c>
      <c r="M43">
        <v>42</v>
      </c>
      <c r="N43">
        <f t="shared" si="4"/>
        <v>42</v>
      </c>
      <c r="O43" t="str">
        <f t="shared" si="4"/>
        <v>KAIST - Korea Advanced Institute of Science &amp; Technology</v>
      </c>
      <c r="P43" t="str">
        <f t="shared" si="4"/>
        <v> Daejeon, South Korea</v>
      </c>
      <c r="Q43" t="str">
        <f t="shared" si="4"/>
        <v>79.3</v>
      </c>
      <c r="R43" t="str">
        <f t="shared" si="4"/>
        <v> Shortlist</v>
      </c>
    </row>
    <row r="44" spans="1:18" x14ac:dyDescent="0.45">
      <c r="A44">
        <v>43</v>
      </c>
      <c r="B44">
        <v>42</v>
      </c>
      <c r="C44" t="s">
        <v>355</v>
      </c>
      <c r="D44" t="s">
        <v>691</v>
      </c>
      <c r="E44" t="s">
        <v>135</v>
      </c>
      <c r="G44">
        <v>9</v>
      </c>
      <c r="M44">
        <v>43</v>
      </c>
      <c r="N44">
        <f t="shared" si="4"/>
        <v>42</v>
      </c>
      <c r="O44" t="str">
        <f t="shared" si="4"/>
        <v>Zhejiang University</v>
      </c>
      <c r="P44" t="str">
        <f t="shared" si="4"/>
        <v> Hangzhou, China (Mainland)</v>
      </c>
      <c r="Q44" t="str">
        <f t="shared" si="4"/>
        <v>79.3</v>
      </c>
      <c r="R44" t="str">
        <f t="shared" si="4"/>
        <v> Shortlist</v>
      </c>
    </row>
    <row r="45" spans="1:18" x14ac:dyDescent="0.45">
      <c r="A45">
        <v>44</v>
      </c>
      <c r="B45">
        <v>44</v>
      </c>
      <c r="C45" t="s">
        <v>692</v>
      </c>
      <c r="D45" t="s">
        <v>693</v>
      </c>
      <c r="E45" t="s">
        <v>413</v>
      </c>
      <c r="G45" t="s">
        <v>67</v>
      </c>
      <c r="M45">
        <v>44</v>
      </c>
      <c r="N45">
        <f t="shared" si="4"/>
        <v>44</v>
      </c>
      <c r="O45" t="str">
        <f t="shared" si="4"/>
        <v>University of California, Los Angeles (UCLA)</v>
      </c>
      <c r="P45" t="str">
        <f t="shared" si="4"/>
        <v> Los Angeles, United States</v>
      </c>
      <c r="Q45" t="str">
        <f t="shared" si="4"/>
        <v>78.7</v>
      </c>
      <c r="R45" t="str">
        <f t="shared" si="4"/>
        <v> Shortlist</v>
      </c>
    </row>
    <row r="46" spans="1:18" x14ac:dyDescent="0.45">
      <c r="A46">
        <v>45</v>
      </c>
      <c r="B46">
        <v>45</v>
      </c>
      <c r="C46" t="s">
        <v>694</v>
      </c>
      <c r="D46" t="s">
        <v>687</v>
      </c>
      <c r="E46">
        <v>78</v>
      </c>
      <c r="G46" t="s">
        <v>640</v>
      </c>
      <c r="M46">
        <v>45</v>
      </c>
      <c r="N46">
        <f t="shared" si="4"/>
        <v>45</v>
      </c>
      <c r="O46" t="str">
        <f t="shared" si="4"/>
        <v>The University of New South Wales (UNSW Sydney)</v>
      </c>
      <c r="P46" t="str">
        <f t="shared" si="4"/>
        <v> Sydney, Australia</v>
      </c>
      <c r="Q46">
        <f t="shared" si="4"/>
        <v>78</v>
      </c>
      <c r="R46" t="str">
        <f t="shared" si="4"/>
        <v> Shortlist</v>
      </c>
    </row>
    <row r="47" spans="1:18" x14ac:dyDescent="0.45">
      <c r="A47">
        <v>46</v>
      </c>
      <c r="B47">
        <v>46</v>
      </c>
      <c r="C47" t="s">
        <v>286</v>
      </c>
      <c r="D47" t="s">
        <v>678</v>
      </c>
      <c r="E47" t="s">
        <v>695</v>
      </c>
      <c r="G47" t="s">
        <v>29</v>
      </c>
      <c r="M47">
        <v>46</v>
      </c>
      <c r="N47">
        <f t="shared" si="4"/>
        <v>46</v>
      </c>
      <c r="O47" t="str">
        <f t="shared" si="4"/>
        <v>Shanghai Jiao Tong University</v>
      </c>
      <c r="P47" t="str">
        <f t="shared" si="4"/>
        <v> Shanghai, China (Mainland)</v>
      </c>
      <c r="Q47" t="str">
        <f t="shared" si="4"/>
        <v>77.4</v>
      </c>
      <c r="R47" t="str">
        <f t="shared" si="4"/>
        <v> Shortlist</v>
      </c>
    </row>
    <row r="48" spans="1:18" x14ac:dyDescent="0.45">
      <c r="A48">
        <v>47</v>
      </c>
      <c r="B48">
        <v>47</v>
      </c>
      <c r="C48" t="s">
        <v>225</v>
      </c>
      <c r="D48" t="s">
        <v>696</v>
      </c>
      <c r="E48">
        <v>77</v>
      </c>
      <c r="G48" t="s">
        <v>631</v>
      </c>
      <c r="M48">
        <v>47</v>
      </c>
      <c r="N48">
        <f t="shared" si="4"/>
        <v>47</v>
      </c>
      <c r="O48" t="str">
        <f t="shared" si="4"/>
        <v>University of British Columbia</v>
      </c>
      <c r="P48" t="str">
        <f t="shared" si="4"/>
        <v> Vancouver, Canada</v>
      </c>
      <c r="Q48">
        <f t="shared" si="4"/>
        <v>77</v>
      </c>
      <c r="R48" t="str">
        <f t="shared" si="4"/>
        <v> Shortlist</v>
      </c>
    </row>
    <row r="49" spans="1:18" x14ac:dyDescent="0.45">
      <c r="A49">
        <v>48</v>
      </c>
      <c r="B49">
        <v>48</v>
      </c>
      <c r="C49" t="s">
        <v>466</v>
      </c>
      <c r="D49" t="s">
        <v>697</v>
      </c>
      <c r="E49" t="s">
        <v>46</v>
      </c>
      <c r="G49">
        <v>10</v>
      </c>
      <c r="M49">
        <v>48</v>
      </c>
      <c r="N49">
        <f t="shared" si="4"/>
        <v>48</v>
      </c>
      <c r="O49" t="str">
        <f t="shared" si="4"/>
        <v>Institut Polytechnique de Paris</v>
      </c>
      <c r="P49" t="str">
        <f t="shared" si="4"/>
        <v> Palaiseau Cedex, France</v>
      </c>
      <c r="Q49" t="str">
        <f t="shared" si="4"/>
        <v>76.8</v>
      </c>
      <c r="R49" t="str">
        <f t="shared" si="4"/>
        <v> Shortlist</v>
      </c>
    </row>
    <row r="50" spans="1:18" x14ac:dyDescent="0.45">
      <c r="A50">
        <v>49</v>
      </c>
      <c r="B50">
        <v>49</v>
      </c>
      <c r="C50" t="s">
        <v>173</v>
      </c>
      <c r="D50" t="s">
        <v>698</v>
      </c>
      <c r="E50" t="s">
        <v>113</v>
      </c>
      <c r="G50" t="s">
        <v>501</v>
      </c>
      <c r="M50">
        <v>49</v>
      </c>
      <c r="N50">
        <f t="shared" si="4"/>
        <v>49</v>
      </c>
      <c r="O50" t="str">
        <f t="shared" si="4"/>
        <v>Technical University of Munich</v>
      </c>
      <c r="P50" t="str">
        <f t="shared" si="4"/>
        <v> Munich, Germany</v>
      </c>
      <c r="Q50" t="str">
        <f t="shared" si="4"/>
        <v>76.4</v>
      </c>
      <c r="R50" t="str">
        <f t="shared" si="4"/>
        <v> Shortlist</v>
      </c>
    </row>
    <row r="51" spans="1:18" x14ac:dyDescent="0.45">
      <c r="A51">
        <v>50</v>
      </c>
      <c r="B51">
        <v>50</v>
      </c>
      <c r="C51" t="s">
        <v>145</v>
      </c>
      <c r="D51" t="s">
        <v>699</v>
      </c>
      <c r="E51" t="s">
        <v>357</v>
      </c>
      <c r="G51" t="s">
        <v>641</v>
      </c>
      <c r="M51">
        <v>50</v>
      </c>
      <c r="N51">
        <f t="shared" si="4"/>
        <v>50</v>
      </c>
      <c r="O51" t="str">
        <f t="shared" si="4"/>
        <v>Duke University</v>
      </c>
      <c r="P51" t="str">
        <f t="shared" si="4"/>
        <v> Durham, United States</v>
      </c>
      <c r="Q51" t="str">
        <f t="shared" si="4"/>
        <v>74.8</v>
      </c>
      <c r="R51" t="str">
        <f t="shared" si="4"/>
        <v> Shortlist</v>
      </c>
    </row>
    <row r="52" spans="1:18" x14ac:dyDescent="0.45">
      <c r="A52">
        <v>51</v>
      </c>
      <c r="B52">
        <v>50</v>
      </c>
      <c r="C52" t="s">
        <v>289</v>
      </c>
      <c r="D52" t="s">
        <v>700</v>
      </c>
      <c r="E52" t="s">
        <v>357</v>
      </c>
      <c r="G52" t="s">
        <v>295</v>
      </c>
      <c r="M52">
        <v>51</v>
      </c>
      <c r="N52">
        <f t="shared" ref="N52:R61" si="5">INDEX($G$4:$G$502,(COLUMNS($N$1:$R$1)*(ROW()-ROW($M$2:$M$101)))+(COLUMN()-COLUMN($N$1:$R$1))+1,1)</f>
        <v>50</v>
      </c>
      <c r="O52" t="str">
        <f t="shared" si="5"/>
        <v>The University of Queensland</v>
      </c>
      <c r="P52" t="str">
        <f t="shared" si="5"/>
        <v> Brisbane City, Australia</v>
      </c>
      <c r="Q52" t="str">
        <f t="shared" si="5"/>
        <v>74.8</v>
      </c>
      <c r="R52" t="str">
        <f t="shared" si="5"/>
        <v> Shortlist</v>
      </c>
    </row>
    <row r="53" spans="1:18" x14ac:dyDescent="0.45">
      <c r="A53">
        <v>52</v>
      </c>
      <c r="B53">
        <v>52</v>
      </c>
      <c r="C53" t="s">
        <v>162</v>
      </c>
      <c r="D53" t="s">
        <v>701</v>
      </c>
      <c r="E53" t="s">
        <v>236</v>
      </c>
      <c r="G53" t="s">
        <v>631</v>
      </c>
      <c r="M53">
        <v>52</v>
      </c>
      <c r="N53">
        <f t="shared" si="5"/>
        <v>52</v>
      </c>
      <c r="O53" t="str">
        <f t="shared" si="5"/>
        <v>Carnegie Mellon University</v>
      </c>
      <c r="P53" t="str">
        <f t="shared" si="5"/>
        <v> Pittsburgh, United States</v>
      </c>
      <c r="Q53" t="str">
        <f t="shared" si="5"/>
        <v>74.6</v>
      </c>
      <c r="R53" t="str">
        <f t="shared" si="5"/>
        <v> Shortlist</v>
      </c>
    </row>
    <row r="54" spans="1:18" x14ac:dyDescent="0.45">
      <c r="A54">
        <v>53</v>
      </c>
      <c r="B54">
        <v>53</v>
      </c>
      <c r="C54" t="s">
        <v>702</v>
      </c>
      <c r="D54" t="s">
        <v>703</v>
      </c>
      <c r="E54" t="s">
        <v>129</v>
      </c>
      <c r="G54">
        <v>11</v>
      </c>
      <c r="M54">
        <v>53</v>
      </c>
      <c r="N54">
        <f t="shared" si="5"/>
        <v>53</v>
      </c>
      <c r="O54" t="str">
        <f t="shared" si="5"/>
        <v>University of California, San Diego (UCSD)</v>
      </c>
      <c r="P54" t="str">
        <f t="shared" si="5"/>
        <v> San Diego, United States</v>
      </c>
      <c r="Q54" t="str">
        <f t="shared" si="5"/>
        <v>74.5</v>
      </c>
      <c r="R54" t="str">
        <f t="shared" si="5"/>
        <v> Shortlist</v>
      </c>
    </row>
    <row r="55" spans="1:18" x14ac:dyDescent="0.45">
      <c r="A55">
        <v>54</v>
      </c>
      <c r="B55">
        <v>54</v>
      </c>
      <c r="C55" t="s">
        <v>474</v>
      </c>
      <c r="D55" t="s">
        <v>704</v>
      </c>
      <c r="E55" t="s">
        <v>246</v>
      </c>
      <c r="G55" t="s">
        <v>642</v>
      </c>
      <c r="M55">
        <v>54</v>
      </c>
      <c r="N55">
        <f t="shared" si="5"/>
        <v>54</v>
      </c>
      <c r="O55" t="str">
        <f t="shared" si="5"/>
        <v>City University of Hong Kong</v>
      </c>
      <c r="P55" t="str">
        <f t="shared" si="5"/>
        <v>  Hong Kong SAR</v>
      </c>
      <c r="Q55" t="str">
        <f t="shared" si="5"/>
        <v>73.6</v>
      </c>
      <c r="R55" t="str">
        <f t="shared" si="5"/>
        <v> Shortlist</v>
      </c>
    </row>
    <row r="56" spans="1:18" x14ac:dyDescent="0.45">
      <c r="A56">
        <v>55</v>
      </c>
      <c r="B56">
        <v>55</v>
      </c>
      <c r="C56" t="s">
        <v>705</v>
      </c>
      <c r="D56" t="s">
        <v>657</v>
      </c>
      <c r="E56" t="s">
        <v>706</v>
      </c>
      <c r="G56" t="s">
        <v>643</v>
      </c>
      <c r="M56">
        <v>55</v>
      </c>
      <c r="N56">
        <f t="shared" si="5"/>
        <v>55</v>
      </c>
      <c r="O56" t="str">
        <f t="shared" si="5"/>
        <v>Tokyo Institute of Technology (Tokyo Tech)</v>
      </c>
      <c r="P56" t="str">
        <f t="shared" si="5"/>
        <v> Tokyo, Japan</v>
      </c>
      <c r="Q56" t="str">
        <f t="shared" si="5"/>
        <v>72.5</v>
      </c>
      <c r="R56" t="str">
        <f t="shared" si="5"/>
        <v> Shortlist</v>
      </c>
    </row>
    <row r="57" spans="1:18" x14ac:dyDescent="0.45">
      <c r="A57">
        <v>56</v>
      </c>
      <c r="B57">
        <v>56</v>
      </c>
      <c r="C57" t="s">
        <v>707</v>
      </c>
      <c r="D57" t="s">
        <v>639</v>
      </c>
      <c r="E57" t="s">
        <v>277</v>
      </c>
      <c r="G57" t="s">
        <v>51</v>
      </c>
      <c r="M57">
        <v>56</v>
      </c>
      <c r="N57">
        <f t="shared" si="5"/>
        <v>56</v>
      </c>
      <c r="O57" t="str">
        <f t="shared" si="5"/>
        <v>The London School of Economics and Political Science (LSE)</v>
      </c>
      <c r="P57" t="str">
        <f t="shared" si="5"/>
        <v> London, United Kingdom</v>
      </c>
      <c r="Q57" t="str">
        <f t="shared" si="5"/>
        <v>72.3</v>
      </c>
      <c r="R57" t="str">
        <f t="shared" si="5"/>
        <v> Shortlist</v>
      </c>
    </row>
    <row r="58" spans="1:18" x14ac:dyDescent="0.45">
      <c r="A58">
        <v>57</v>
      </c>
      <c r="B58">
        <v>57</v>
      </c>
      <c r="C58" t="s">
        <v>245</v>
      </c>
      <c r="D58" t="s">
        <v>708</v>
      </c>
      <c r="E58" t="s">
        <v>158</v>
      </c>
      <c r="G58" t="s">
        <v>631</v>
      </c>
      <c r="M58">
        <v>57</v>
      </c>
      <c r="N58">
        <f t="shared" si="5"/>
        <v>57</v>
      </c>
      <c r="O58" t="str">
        <f t="shared" si="5"/>
        <v>Monash University</v>
      </c>
      <c r="P58" t="str">
        <f t="shared" si="5"/>
        <v> Melbourne, Australia</v>
      </c>
      <c r="Q58" t="str">
        <f t="shared" si="5"/>
        <v>71.6</v>
      </c>
      <c r="R58" t="str">
        <f t="shared" si="5"/>
        <v> Shortlist</v>
      </c>
    </row>
    <row r="59" spans="1:18" x14ac:dyDescent="0.45">
      <c r="A59">
        <v>58</v>
      </c>
      <c r="B59">
        <v>58</v>
      </c>
      <c r="C59" t="s">
        <v>326</v>
      </c>
      <c r="D59" t="s">
        <v>709</v>
      </c>
      <c r="E59" t="s">
        <v>290</v>
      </c>
      <c r="G59">
        <v>12</v>
      </c>
      <c r="M59">
        <v>58</v>
      </c>
      <c r="N59">
        <f t="shared" si="5"/>
        <v>58</v>
      </c>
      <c r="O59" t="str">
        <f t="shared" si="5"/>
        <v>University of Amsterdam</v>
      </c>
      <c r="P59" t="str">
        <f t="shared" si="5"/>
        <v> Amsterdam, Netherlands</v>
      </c>
      <c r="Q59" t="str">
        <f t="shared" si="5"/>
        <v>71.1</v>
      </c>
      <c r="R59" t="str">
        <f t="shared" si="5"/>
        <v> Shortlist</v>
      </c>
    </row>
    <row r="60" spans="1:18" x14ac:dyDescent="0.45">
      <c r="A60">
        <v>59</v>
      </c>
      <c r="B60">
        <v>59</v>
      </c>
      <c r="C60" t="s">
        <v>710</v>
      </c>
      <c r="D60" t="s">
        <v>698</v>
      </c>
      <c r="E60" t="s">
        <v>711</v>
      </c>
      <c r="G60" t="s">
        <v>97</v>
      </c>
      <c r="M60">
        <v>59</v>
      </c>
      <c r="N60">
        <f t="shared" si="5"/>
        <v>59</v>
      </c>
      <c r="O60" t="str">
        <f t="shared" si="5"/>
        <v>Ludwig-Maximilians-Universität München</v>
      </c>
      <c r="P60" t="str">
        <f t="shared" si="5"/>
        <v> Munich, Germany</v>
      </c>
      <c r="Q60" t="str">
        <f t="shared" si="5"/>
        <v>70.4</v>
      </c>
      <c r="R60" t="str">
        <f t="shared" si="5"/>
        <v> Shortlist</v>
      </c>
    </row>
    <row r="61" spans="1:18" x14ac:dyDescent="0.45">
      <c r="A61">
        <v>60</v>
      </c>
      <c r="B61">
        <v>60</v>
      </c>
      <c r="C61" t="s">
        <v>446</v>
      </c>
      <c r="D61" t="s">
        <v>664</v>
      </c>
      <c r="E61" t="s">
        <v>574</v>
      </c>
      <c r="G61" t="s">
        <v>644</v>
      </c>
      <c r="M61">
        <v>60</v>
      </c>
      <c r="N61">
        <f t="shared" si="5"/>
        <v>60</v>
      </c>
      <c r="O61" t="str">
        <f t="shared" si="5"/>
        <v>Sorbonne University</v>
      </c>
      <c r="P61" t="str">
        <f t="shared" si="5"/>
        <v> Paris, France</v>
      </c>
      <c r="Q61" t="str">
        <f t="shared" si="5"/>
        <v>70.1</v>
      </c>
      <c r="R61" t="str">
        <f t="shared" si="5"/>
        <v> Shortlist</v>
      </c>
    </row>
    <row r="62" spans="1:18" x14ac:dyDescent="0.45">
      <c r="A62">
        <v>61</v>
      </c>
      <c r="B62">
        <v>61</v>
      </c>
      <c r="C62" t="s">
        <v>369</v>
      </c>
      <c r="D62" t="s">
        <v>712</v>
      </c>
      <c r="E62">
        <v>70</v>
      </c>
      <c r="G62" t="s">
        <v>299</v>
      </c>
      <c r="M62">
        <v>61</v>
      </c>
      <c r="N62">
        <f t="shared" ref="N62:R71" si="6">INDEX($G$4:$G$502,(COLUMNS($N$1:$R$1)*(ROW()-ROW($M$2:$M$101)))+(COLUMN()-COLUMN($N$1:$R$1))+1,1)</f>
        <v>61</v>
      </c>
      <c r="O62" t="str">
        <f t="shared" si="6"/>
        <v>Delft University of Technology</v>
      </c>
      <c r="P62" t="str">
        <f t="shared" si="6"/>
        <v> Delft, Netherlands</v>
      </c>
      <c r="Q62">
        <f t="shared" si="6"/>
        <v>70</v>
      </c>
      <c r="R62" t="str">
        <f t="shared" si="6"/>
        <v> Shortlist</v>
      </c>
    </row>
    <row r="63" spans="1:18" x14ac:dyDescent="0.45">
      <c r="A63">
        <v>62</v>
      </c>
      <c r="B63">
        <v>61</v>
      </c>
      <c r="C63" t="s">
        <v>392</v>
      </c>
      <c r="D63" t="s">
        <v>713</v>
      </c>
      <c r="E63">
        <v>70</v>
      </c>
      <c r="G63" t="s">
        <v>631</v>
      </c>
      <c r="M63">
        <v>62</v>
      </c>
      <c r="N63">
        <f t="shared" si="6"/>
        <v>61</v>
      </c>
      <c r="O63" t="str">
        <f t="shared" si="6"/>
        <v>University of Bristol</v>
      </c>
      <c r="P63" t="str">
        <f t="shared" si="6"/>
        <v> Bristol, United Kingdom</v>
      </c>
      <c r="Q63">
        <f t="shared" si="6"/>
        <v>70</v>
      </c>
      <c r="R63" t="str">
        <f t="shared" si="6"/>
        <v> Shortlist</v>
      </c>
    </row>
    <row r="64" spans="1:18" x14ac:dyDescent="0.45">
      <c r="A64">
        <v>63</v>
      </c>
      <c r="B64">
        <v>63</v>
      </c>
      <c r="C64" t="s">
        <v>332</v>
      </c>
      <c r="D64" t="s">
        <v>714</v>
      </c>
      <c r="E64" t="s">
        <v>327</v>
      </c>
      <c r="G64">
        <v>13</v>
      </c>
      <c r="M64">
        <v>63</v>
      </c>
      <c r="N64">
        <f t="shared" si="6"/>
        <v>63</v>
      </c>
      <c r="O64" t="str">
        <f t="shared" si="6"/>
        <v>Brown University</v>
      </c>
      <c r="P64" t="str">
        <f t="shared" si="6"/>
        <v> Providence, United States</v>
      </c>
      <c r="Q64" t="str">
        <f t="shared" si="6"/>
        <v>69.6</v>
      </c>
      <c r="R64" t="str">
        <f t="shared" si="6"/>
        <v> Shortlist</v>
      </c>
    </row>
    <row r="65" spans="1:18" x14ac:dyDescent="0.45">
      <c r="A65">
        <v>64</v>
      </c>
      <c r="B65">
        <v>64</v>
      </c>
      <c r="C65" t="s">
        <v>715</v>
      </c>
      <c r="D65" t="s">
        <v>716</v>
      </c>
      <c r="E65" t="s">
        <v>717</v>
      </c>
      <c r="G65" t="s">
        <v>79</v>
      </c>
      <c r="M65">
        <v>64</v>
      </c>
      <c r="N65">
        <f t="shared" si="6"/>
        <v>64</v>
      </c>
      <c r="O65" t="str">
        <f t="shared" si="6"/>
        <v>The University of Warwick</v>
      </c>
      <c r="P65" t="str">
        <f t="shared" si="6"/>
        <v> Coventry, United Kingdom</v>
      </c>
      <c r="Q65" t="str">
        <f t="shared" si="6"/>
        <v>69.1</v>
      </c>
      <c r="R65" t="str">
        <f t="shared" si="6"/>
        <v> Shortlist</v>
      </c>
    </row>
    <row r="66" spans="1:18" x14ac:dyDescent="0.45">
      <c r="A66">
        <v>65</v>
      </c>
      <c r="B66">
        <v>65</v>
      </c>
      <c r="C66" t="s">
        <v>239</v>
      </c>
      <c r="D66" t="s">
        <v>718</v>
      </c>
      <c r="E66">
        <v>69</v>
      </c>
      <c r="G66" t="s">
        <v>645</v>
      </c>
      <c r="M66">
        <v>65</v>
      </c>
      <c r="N66">
        <f t="shared" si="6"/>
        <v>65</v>
      </c>
      <c r="O66" t="str">
        <f t="shared" si="6"/>
        <v>Universität Heidelberg</v>
      </c>
      <c r="P66" t="str">
        <f t="shared" si="6"/>
        <v> 69117 Heidelberg,, Germany</v>
      </c>
      <c r="Q66">
        <f t="shared" si="6"/>
        <v>69</v>
      </c>
      <c r="R66" t="str">
        <f t="shared" si="6"/>
        <v> Shortlist</v>
      </c>
    </row>
    <row r="67" spans="1:18" x14ac:dyDescent="0.45">
      <c r="A67">
        <v>66</v>
      </c>
      <c r="B67">
        <v>65</v>
      </c>
      <c r="C67" t="s">
        <v>719</v>
      </c>
      <c r="D67" t="s">
        <v>684</v>
      </c>
      <c r="E67">
        <v>69</v>
      </c>
      <c r="G67" t="s">
        <v>305</v>
      </c>
      <c r="M67">
        <v>66</v>
      </c>
      <c r="N67">
        <f t="shared" si="6"/>
        <v>65</v>
      </c>
      <c r="O67" t="str">
        <f t="shared" si="6"/>
        <v>The Hong Kong Polytechnic University</v>
      </c>
      <c r="P67" t="str">
        <f t="shared" si="6"/>
        <v> Hong Kong SAR, Hong Kong SAR</v>
      </c>
      <c r="Q67">
        <f t="shared" si="6"/>
        <v>69</v>
      </c>
      <c r="R67" t="str">
        <f t="shared" si="6"/>
        <v> Shortlist</v>
      </c>
    </row>
    <row r="68" spans="1:18" x14ac:dyDescent="0.45">
      <c r="A68">
        <v>67</v>
      </c>
      <c r="B68">
        <v>67</v>
      </c>
      <c r="C68" t="s">
        <v>720</v>
      </c>
      <c r="D68" t="s">
        <v>721</v>
      </c>
      <c r="E68" t="s">
        <v>400</v>
      </c>
      <c r="G68" t="s">
        <v>631</v>
      </c>
      <c r="M68">
        <v>67</v>
      </c>
      <c r="N68">
        <f t="shared" si="6"/>
        <v>67</v>
      </c>
      <c r="O68" t="str">
        <f t="shared" si="6"/>
        <v>Universidad de Buenos Aires (UBA)</v>
      </c>
      <c r="P68" t="str">
        <f t="shared" si="6"/>
        <v> Buenos Aires, Argentina</v>
      </c>
      <c r="Q68" t="str">
        <f t="shared" si="6"/>
        <v>68.9</v>
      </c>
      <c r="R68" t="str">
        <f t="shared" si="6"/>
        <v> Shortlist</v>
      </c>
    </row>
    <row r="69" spans="1:18" x14ac:dyDescent="0.45">
      <c r="A69">
        <v>68</v>
      </c>
      <c r="B69">
        <v>68</v>
      </c>
      <c r="C69" t="s">
        <v>722</v>
      </c>
      <c r="D69" t="s">
        <v>723</v>
      </c>
      <c r="E69" t="s">
        <v>261</v>
      </c>
      <c r="G69">
        <v>14</v>
      </c>
      <c r="M69">
        <v>68</v>
      </c>
      <c r="N69">
        <f t="shared" si="6"/>
        <v>68</v>
      </c>
      <c r="O69" t="str">
        <f t="shared" si="6"/>
        <v>Osaka University</v>
      </c>
      <c r="P69" t="str">
        <f t="shared" si="6"/>
        <v> Osaka City, Japan</v>
      </c>
      <c r="Q69" t="str">
        <f t="shared" si="6"/>
        <v>68.2</v>
      </c>
      <c r="R69" t="str">
        <f t="shared" si="6"/>
        <v> Shortlist</v>
      </c>
    </row>
    <row r="70" spans="1:18" x14ac:dyDescent="0.45">
      <c r="A70">
        <v>69</v>
      </c>
      <c r="B70">
        <v>69</v>
      </c>
      <c r="C70" t="s">
        <v>456</v>
      </c>
      <c r="D70" t="s">
        <v>724</v>
      </c>
      <c r="E70" t="s">
        <v>356</v>
      </c>
      <c r="G70" t="s">
        <v>89</v>
      </c>
      <c r="M70">
        <v>69</v>
      </c>
      <c r="N70">
        <f t="shared" si="6"/>
        <v>69</v>
      </c>
      <c r="O70" t="str">
        <f t="shared" si="6"/>
        <v>Université Paris-Saclay</v>
      </c>
      <c r="P70" t="str">
        <f t="shared" si="6"/>
        <v> Gif-sur-Yvette,, France</v>
      </c>
      <c r="Q70" t="str">
        <f t="shared" si="6"/>
        <v>68.1</v>
      </c>
      <c r="R70" t="str">
        <f t="shared" si="6"/>
        <v> Shortlist</v>
      </c>
    </row>
    <row r="71" spans="1:18" x14ac:dyDescent="0.45">
      <c r="A71">
        <v>70</v>
      </c>
      <c r="B71">
        <v>70</v>
      </c>
      <c r="C71" t="s">
        <v>725</v>
      </c>
      <c r="D71" t="s">
        <v>726</v>
      </c>
      <c r="E71" t="s">
        <v>727</v>
      </c>
      <c r="G71" t="s">
        <v>644</v>
      </c>
      <c r="M71">
        <v>70</v>
      </c>
      <c r="N71">
        <f t="shared" si="6"/>
        <v>70</v>
      </c>
      <c r="O71" t="str">
        <f t="shared" si="6"/>
        <v>Universiti Malaya (UM)</v>
      </c>
      <c r="P71" t="str">
        <f t="shared" si="6"/>
        <v> Kuala Lumpur, Malaysia</v>
      </c>
      <c r="Q71" t="str">
        <f t="shared" si="6"/>
        <v>67.9</v>
      </c>
      <c r="R71" t="str">
        <f t="shared" si="6"/>
        <v> Shortlist</v>
      </c>
    </row>
    <row r="72" spans="1:18" x14ac:dyDescent="0.45">
      <c r="A72">
        <v>71</v>
      </c>
      <c r="B72">
        <v>71</v>
      </c>
      <c r="C72" t="s">
        <v>728</v>
      </c>
      <c r="D72" t="s">
        <v>729</v>
      </c>
      <c r="E72" t="s">
        <v>370</v>
      </c>
      <c r="G72" t="s">
        <v>92</v>
      </c>
      <c r="M72">
        <v>71</v>
      </c>
      <c r="N72">
        <f t="shared" ref="N72:R81" si="7">INDEX($G$4:$G$502,(COLUMNS($N$1:$R$1)*(ROW()-ROW($M$2:$M$101)))+(COLUMN()-COLUMN($N$1:$R$1))+1,1)</f>
        <v>71</v>
      </c>
      <c r="O72" t="str">
        <f t="shared" si="7"/>
        <v>Pohang University of Science And Technology (POSTECH)</v>
      </c>
      <c r="P72" t="str">
        <f t="shared" si="7"/>
        <v> Pohang , South Korea</v>
      </c>
      <c r="Q72" t="str">
        <f t="shared" si="7"/>
        <v>67.7</v>
      </c>
      <c r="R72" t="str">
        <f t="shared" si="7"/>
        <v> Shortlist</v>
      </c>
    </row>
    <row r="73" spans="1:18" x14ac:dyDescent="0.45">
      <c r="A73">
        <v>72</v>
      </c>
      <c r="B73">
        <v>72</v>
      </c>
      <c r="C73" t="s">
        <v>276</v>
      </c>
      <c r="D73" t="s">
        <v>730</v>
      </c>
      <c r="E73" t="s">
        <v>731</v>
      </c>
      <c r="G73" t="s">
        <v>631</v>
      </c>
      <c r="M73">
        <v>72</v>
      </c>
      <c r="N73">
        <f t="shared" si="7"/>
        <v>72</v>
      </c>
      <c r="O73" t="str">
        <f t="shared" si="7"/>
        <v>University of Texas at Austin</v>
      </c>
      <c r="P73" t="str">
        <f t="shared" si="7"/>
        <v> Austin, United States</v>
      </c>
      <c r="Q73" t="str">
        <f t="shared" si="7"/>
        <v>67.4</v>
      </c>
      <c r="R73" t="str">
        <f t="shared" si="7"/>
        <v> Shortlist</v>
      </c>
    </row>
    <row r="74" spans="1:18" x14ac:dyDescent="0.45">
      <c r="A74">
        <v>73</v>
      </c>
      <c r="B74">
        <v>73</v>
      </c>
      <c r="C74" t="s">
        <v>732</v>
      </c>
      <c r="D74" t="s">
        <v>670</v>
      </c>
      <c r="E74">
        <v>67</v>
      </c>
      <c r="G74">
        <v>15</v>
      </c>
      <c r="M74">
        <v>73</v>
      </c>
      <c r="N74">
        <f t="shared" si="7"/>
        <v>73</v>
      </c>
      <c r="O74" t="str">
        <f t="shared" si="7"/>
        <v>Yonsei University</v>
      </c>
      <c r="P74" t="str">
        <f t="shared" si="7"/>
        <v> Seoul, South Korea</v>
      </c>
      <c r="Q74">
        <f t="shared" si="7"/>
        <v>67</v>
      </c>
      <c r="R74" t="str">
        <f t="shared" si="7"/>
        <v> Shortlist</v>
      </c>
    </row>
    <row r="75" spans="1:18" x14ac:dyDescent="0.45">
      <c r="A75">
        <v>74</v>
      </c>
      <c r="B75">
        <v>74</v>
      </c>
      <c r="C75" t="s">
        <v>733</v>
      </c>
      <c r="D75" t="s">
        <v>670</v>
      </c>
      <c r="E75" t="s">
        <v>170</v>
      </c>
      <c r="G75" t="s">
        <v>537</v>
      </c>
      <c r="M75">
        <v>74</v>
      </c>
      <c r="N75">
        <f t="shared" si="7"/>
        <v>74</v>
      </c>
      <c r="O75" t="str">
        <f t="shared" si="7"/>
        <v>Korea University</v>
      </c>
      <c r="P75" t="str">
        <f t="shared" si="7"/>
        <v> Seoul, South Korea</v>
      </c>
      <c r="Q75" t="str">
        <f t="shared" si="7"/>
        <v>66.9</v>
      </c>
      <c r="R75" t="str">
        <f t="shared" si="7"/>
        <v> Shortlist</v>
      </c>
    </row>
    <row r="76" spans="1:18" x14ac:dyDescent="0.45">
      <c r="A76">
        <v>75</v>
      </c>
      <c r="B76">
        <v>75</v>
      </c>
      <c r="C76" t="s">
        <v>734</v>
      </c>
      <c r="D76" t="s">
        <v>735</v>
      </c>
      <c r="E76" t="s">
        <v>736</v>
      </c>
      <c r="G76" t="s">
        <v>646</v>
      </c>
      <c r="M76">
        <v>75</v>
      </c>
      <c r="N76">
        <f t="shared" si="7"/>
        <v>75</v>
      </c>
      <c r="O76" t="str">
        <f t="shared" si="7"/>
        <v>Lomonosov Moscow State University</v>
      </c>
      <c r="P76" t="str">
        <f t="shared" si="7"/>
        <v> Moscow, Russia</v>
      </c>
      <c r="Q76" t="str">
        <f t="shared" si="7"/>
        <v>66.8</v>
      </c>
      <c r="R76" t="str">
        <f t="shared" si="7"/>
        <v> Shortlist</v>
      </c>
    </row>
    <row r="77" spans="1:18" x14ac:dyDescent="0.45">
      <c r="A77">
        <v>76</v>
      </c>
      <c r="B77">
        <v>76</v>
      </c>
      <c r="C77" t="s">
        <v>234</v>
      </c>
      <c r="D77" t="s">
        <v>737</v>
      </c>
      <c r="E77">
        <v>66</v>
      </c>
      <c r="G77" t="s">
        <v>87</v>
      </c>
      <c r="M77">
        <v>76</v>
      </c>
      <c r="N77">
        <f t="shared" si="7"/>
        <v>76</v>
      </c>
      <c r="O77" t="str">
        <f t="shared" si="7"/>
        <v>KU Leuven</v>
      </c>
      <c r="P77" t="str">
        <f t="shared" si="7"/>
        <v> Leuven, Belgium</v>
      </c>
      <c r="Q77">
        <f t="shared" si="7"/>
        <v>66</v>
      </c>
      <c r="R77" t="str">
        <f t="shared" si="7"/>
        <v> Shortlist</v>
      </c>
    </row>
    <row r="78" spans="1:18" x14ac:dyDescent="0.45">
      <c r="A78">
        <v>77</v>
      </c>
      <c r="B78">
        <v>77</v>
      </c>
      <c r="C78" t="s">
        <v>738</v>
      </c>
      <c r="D78" t="s">
        <v>739</v>
      </c>
      <c r="E78" t="s">
        <v>409</v>
      </c>
      <c r="G78" t="s">
        <v>631</v>
      </c>
      <c r="M78">
        <v>77</v>
      </c>
      <c r="N78">
        <f t="shared" si="7"/>
        <v>77</v>
      </c>
      <c r="O78" t="str">
        <f t="shared" si="7"/>
        <v>National Taiwan University (NTU)</v>
      </c>
      <c r="P78" t="str">
        <f t="shared" si="7"/>
        <v> Taipei City, Taiwan</v>
      </c>
      <c r="Q78" t="str">
        <f t="shared" si="7"/>
        <v>65.7</v>
      </c>
      <c r="R78" t="str">
        <f t="shared" si="7"/>
        <v> Shortlist</v>
      </c>
    </row>
    <row r="79" spans="1:18" x14ac:dyDescent="0.45">
      <c r="A79">
        <v>78</v>
      </c>
      <c r="B79">
        <v>78</v>
      </c>
      <c r="C79" t="s">
        <v>740</v>
      </c>
      <c r="D79" t="s">
        <v>741</v>
      </c>
      <c r="E79">
        <v>65</v>
      </c>
      <c r="G79">
        <f>16</f>
        <v>16</v>
      </c>
      <c r="M79">
        <v>78</v>
      </c>
      <c r="N79">
        <f t="shared" si="7"/>
        <v>78</v>
      </c>
      <c r="O79" t="str">
        <f t="shared" si="7"/>
        <v>University of Southampton</v>
      </c>
      <c r="P79" t="str">
        <f t="shared" si="7"/>
        <v> Southampton, United Kingdom</v>
      </c>
      <c r="Q79">
        <f t="shared" si="7"/>
        <v>65</v>
      </c>
      <c r="R79" t="str">
        <f t="shared" si="7"/>
        <v> Shortlist</v>
      </c>
    </row>
    <row r="80" spans="1:18" x14ac:dyDescent="0.45">
      <c r="A80">
        <v>79</v>
      </c>
      <c r="B80">
        <v>79</v>
      </c>
      <c r="C80" t="s">
        <v>742</v>
      </c>
      <c r="D80" t="s">
        <v>743</v>
      </c>
      <c r="E80" t="s">
        <v>218</v>
      </c>
      <c r="G80" t="s">
        <v>647</v>
      </c>
      <c r="M80">
        <v>79</v>
      </c>
      <c r="N80">
        <f t="shared" si="7"/>
        <v>79</v>
      </c>
      <c r="O80" t="str">
        <f t="shared" si="7"/>
        <v>Tohoku University</v>
      </c>
      <c r="P80" t="str">
        <f t="shared" si="7"/>
        <v> Sendai City, Japan</v>
      </c>
      <c r="Q80" t="str">
        <f t="shared" si="7"/>
        <v>64.9</v>
      </c>
      <c r="R80" t="str">
        <f t="shared" si="7"/>
        <v> Shortlist</v>
      </c>
    </row>
    <row r="81" spans="1:18" x14ac:dyDescent="0.45">
      <c r="A81">
        <v>80</v>
      </c>
      <c r="B81">
        <v>80</v>
      </c>
      <c r="C81" t="s">
        <v>157</v>
      </c>
      <c r="D81" t="s">
        <v>744</v>
      </c>
      <c r="E81" t="s">
        <v>441</v>
      </c>
      <c r="G81" t="s">
        <v>648</v>
      </c>
      <c r="M81">
        <v>80</v>
      </c>
      <c r="N81">
        <f t="shared" si="7"/>
        <v>80</v>
      </c>
      <c r="O81" t="str">
        <f t="shared" si="7"/>
        <v>University of Washington</v>
      </c>
      <c r="P81" t="str">
        <f t="shared" si="7"/>
        <v> Seattle, United States</v>
      </c>
      <c r="Q81" t="str">
        <f t="shared" si="7"/>
        <v>64.7</v>
      </c>
      <c r="R81" t="str">
        <f t="shared" si="7"/>
        <v> Shortlist</v>
      </c>
    </row>
    <row r="82" spans="1:18" x14ac:dyDescent="0.45">
      <c r="A82">
        <v>81</v>
      </c>
      <c r="B82">
        <v>81</v>
      </c>
      <c r="C82" t="s">
        <v>420</v>
      </c>
      <c r="D82" t="s">
        <v>745</v>
      </c>
      <c r="E82" t="s">
        <v>444</v>
      </c>
      <c r="G82" t="s">
        <v>649</v>
      </c>
      <c r="M82">
        <v>81</v>
      </c>
      <c r="N82">
        <f t="shared" ref="N82:R91" si="8">INDEX($G$4:$G$502,(COLUMNS($N$1:$R$1)*(ROW()-ROW($M$2:$M$101)))+(COLUMN()-COLUMN($N$1:$R$1))+1,1)</f>
        <v>81</v>
      </c>
      <c r="O82" t="str">
        <f t="shared" si="8"/>
        <v>University of Glasgow</v>
      </c>
      <c r="P82" t="str">
        <f t="shared" si="8"/>
        <v> Glasgow, United Kingdom</v>
      </c>
      <c r="Q82" t="str">
        <f t="shared" si="8"/>
        <v>64.6</v>
      </c>
      <c r="R82" t="str">
        <f t="shared" si="8"/>
        <v> Shortlist</v>
      </c>
    </row>
    <row r="83" spans="1:18" x14ac:dyDescent="0.45">
      <c r="A83">
        <v>82</v>
      </c>
      <c r="B83">
        <v>82</v>
      </c>
      <c r="C83" t="s">
        <v>545</v>
      </c>
      <c r="D83" t="s">
        <v>746</v>
      </c>
      <c r="E83" t="s">
        <v>329</v>
      </c>
      <c r="G83" t="s">
        <v>631</v>
      </c>
      <c r="M83">
        <v>82</v>
      </c>
      <c r="N83">
        <f t="shared" si="8"/>
        <v>82</v>
      </c>
      <c r="O83" t="str">
        <f t="shared" si="8"/>
        <v>University of Copenhagen</v>
      </c>
      <c r="P83" t="str">
        <f t="shared" si="8"/>
        <v> Copenhagen, Denmark</v>
      </c>
      <c r="Q83" t="str">
        <f t="shared" si="8"/>
        <v>64.1</v>
      </c>
      <c r="R83" t="str">
        <f t="shared" si="8"/>
        <v> Shortlist</v>
      </c>
    </row>
    <row r="84" spans="1:18" x14ac:dyDescent="0.45">
      <c r="A84">
        <v>83</v>
      </c>
      <c r="B84">
        <v>83</v>
      </c>
      <c r="C84" t="s">
        <v>412</v>
      </c>
      <c r="D84" t="s">
        <v>747</v>
      </c>
      <c r="E84" t="s">
        <v>298</v>
      </c>
      <c r="G84">
        <f>16</f>
        <v>16</v>
      </c>
      <c r="M84">
        <v>83</v>
      </c>
      <c r="N84">
        <f t="shared" si="8"/>
        <v>83</v>
      </c>
      <c r="O84" t="str">
        <f t="shared" si="8"/>
        <v>University of Wisconsin-Madison</v>
      </c>
      <c r="P84" t="str">
        <f t="shared" si="8"/>
        <v> Madison, United States</v>
      </c>
      <c r="Q84" t="str">
        <f t="shared" si="8"/>
        <v>63.7</v>
      </c>
      <c r="R84" t="str">
        <f t="shared" si="8"/>
        <v> Shortlist</v>
      </c>
    </row>
    <row r="85" spans="1:18" x14ac:dyDescent="0.45">
      <c r="A85">
        <v>84</v>
      </c>
      <c r="B85">
        <v>83</v>
      </c>
      <c r="C85" t="s">
        <v>425</v>
      </c>
      <c r="D85" t="s">
        <v>640</v>
      </c>
      <c r="E85" t="s">
        <v>298</v>
      </c>
      <c r="G85" t="s">
        <v>36</v>
      </c>
      <c r="M85">
        <v>84</v>
      </c>
      <c r="N85">
        <f t="shared" si="8"/>
        <v>83</v>
      </c>
      <c r="O85" t="str">
        <f t="shared" si="8"/>
        <v>University of Zurich</v>
      </c>
      <c r="P85" t="str">
        <f t="shared" si="8"/>
        <v> Zürich, Switzerland</v>
      </c>
      <c r="Q85" t="str">
        <f t="shared" si="8"/>
        <v>63.7</v>
      </c>
      <c r="R85" t="str">
        <f t="shared" si="8"/>
        <v> Shortlist</v>
      </c>
    </row>
    <row r="86" spans="1:18" x14ac:dyDescent="0.45">
      <c r="A86">
        <v>85</v>
      </c>
      <c r="B86">
        <v>85</v>
      </c>
      <c r="C86" t="s">
        <v>266</v>
      </c>
      <c r="D86" t="s">
        <v>748</v>
      </c>
      <c r="E86" t="s">
        <v>464</v>
      </c>
      <c r="G86" t="s">
        <v>650</v>
      </c>
      <c r="M86">
        <v>85</v>
      </c>
      <c r="N86">
        <f t="shared" si="8"/>
        <v>85</v>
      </c>
      <c r="O86" t="str">
        <f t="shared" si="8"/>
        <v>University of Illinois at Urbana-Champaign</v>
      </c>
      <c r="P86" t="str">
        <f t="shared" si="8"/>
        <v> Champaign, United States</v>
      </c>
      <c r="Q86" t="str">
        <f t="shared" si="8"/>
        <v>63.6</v>
      </c>
      <c r="R86" t="str">
        <f t="shared" si="8"/>
        <v> Shortlist</v>
      </c>
    </row>
    <row r="87" spans="1:18" x14ac:dyDescent="0.45">
      <c r="A87">
        <v>86</v>
      </c>
      <c r="B87">
        <v>86</v>
      </c>
      <c r="C87" t="s">
        <v>749</v>
      </c>
      <c r="D87" t="s">
        <v>750</v>
      </c>
      <c r="E87" t="s">
        <v>358</v>
      </c>
      <c r="G87" t="s">
        <v>649</v>
      </c>
      <c r="M87">
        <v>86</v>
      </c>
      <c r="N87">
        <f t="shared" si="8"/>
        <v>86</v>
      </c>
      <c r="O87" t="str">
        <f t="shared" si="8"/>
        <v>University of Leeds</v>
      </c>
      <c r="P87" t="str">
        <f t="shared" si="8"/>
        <v> Leeds, United Kingdom</v>
      </c>
      <c r="Q87" t="str">
        <f t="shared" si="8"/>
        <v>62.8</v>
      </c>
      <c r="R87" t="str">
        <f t="shared" si="8"/>
        <v> Shortlist</v>
      </c>
    </row>
    <row r="88" spans="1:18" x14ac:dyDescent="0.45">
      <c r="A88">
        <v>87</v>
      </c>
      <c r="B88">
        <v>87</v>
      </c>
      <c r="C88" t="s">
        <v>751</v>
      </c>
      <c r="D88" t="s">
        <v>752</v>
      </c>
      <c r="E88" t="s">
        <v>753</v>
      </c>
      <c r="G88" t="s">
        <v>631</v>
      </c>
      <c r="M88">
        <v>87</v>
      </c>
      <c r="N88">
        <f t="shared" si="8"/>
        <v>87</v>
      </c>
      <c r="O88" t="str">
        <f t="shared" si="8"/>
        <v>The University of Auckland</v>
      </c>
      <c r="P88" t="str">
        <f t="shared" si="8"/>
        <v> Auckland, New Zealand</v>
      </c>
      <c r="Q88" t="str">
        <f t="shared" si="8"/>
        <v>62.7</v>
      </c>
      <c r="R88" t="str">
        <f t="shared" si="8"/>
        <v> Shortlist</v>
      </c>
    </row>
    <row r="89" spans="1:18" x14ac:dyDescent="0.45">
      <c r="A89">
        <v>88</v>
      </c>
      <c r="B89">
        <v>88</v>
      </c>
      <c r="C89" t="s">
        <v>216</v>
      </c>
      <c r="D89" t="s">
        <v>754</v>
      </c>
      <c r="E89" t="s">
        <v>755</v>
      </c>
      <c r="G89">
        <v>18</v>
      </c>
      <c r="M89">
        <v>88</v>
      </c>
      <c r="N89">
        <f t="shared" si="8"/>
        <v>88</v>
      </c>
      <c r="O89" t="str">
        <f t="shared" si="8"/>
        <v>Georgia Institute of Technology</v>
      </c>
      <c r="P89" t="str">
        <f t="shared" si="8"/>
        <v> Atlanta, United States</v>
      </c>
      <c r="Q89" t="str">
        <f t="shared" si="8"/>
        <v>62.3</v>
      </c>
      <c r="R89" t="str">
        <f t="shared" si="8"/>
        <v> Shortlist</v>
      </c>
    </row>
    <row r="90" spans="1:18" x14ac:dyDescent="0.45">
      <c r="A90">
        <v>89</v>
      </c>
      <c r="B90">
        <v>89</v>
      </c>
      <c r="C90" t="s">
        <v>756</v>
      </c>
      <c r="D90" t="s">
        <v>757</v>
      </c>
      <c r="E90" t="s">
        <v>758</v>
      </c>
      <c r="G90" t="s">
        <v>48</v>
      </c>
      <c r="M90">
        <v>89</v>
      </c>
      <c r="N90">
        <f t="shared" si="8"/>
        <v>89</v>
      </c>
      <c r="O90" t="str">
        <f t="shared" si="8"/>
        <v>KTH Royal Institute of Technology</v>
      </c>
      <c r="P90" t="str">
        <f t="shared" si="8"/>
        <v> Stockholm, Sweden</v>
      </c>
      <c r="Q90" t="str">
        <f t="shared" si="8"/>
        <v>62.1</v>
      </c>
      <c r="R90" t="str">
        <f t="shared" si="8"/>
        <v> Shortlist</v>
      </c>
    </row>
    <row r="91" spans="1:18" x14ac:dyDescent="0.45">
      <c r="A91">
        <v>90</v>
      </c>
      <c r="B91">
        <v>90</v>
      </c>
      <c r="C91" t="s">
        <v>622</v>
      </c>
      <c r="D91" t="s">
        <v>759</v>
      </c>
      <c r="E91" t="s">
        <v>760</v>
      </c>
      <c r="G91" t="s">
        <v>651</v>
      </c>
      <c r="M91">
        <v>90</v>
      </c>
      <c r="N91">
        <f t="shared" si="8"/>
        <v>90</v>
      </c>
      <c r="O91" t="str">
        <f t="shared" si="8"/>
        <v>The University of Western Australia</v>
      </c>
      <c r="P91" t="str">
        <f t="shared" si="8"/>
        <v> Perth, Australia</v>
      </c>
      <c r="Q91" t="str">
        <f t="shared" si="8"/>
        <v>61.7</v>
      </c>
      <c r="R91" t="str">
        <f t="shared" si="8"/>
        <v> Shortlist</v>
      </c>
    </row>
    <row r="92" spans="1:18" x14ac:dyDescent="0.45">
      <c r="A92">
        <v>91</v>
      </c>
      <c r="B92">
        <v>91</v>
      </c>
      <c r="C92" t="s">
        <v>761</v>
      </c>
      <c r="D92" t="s">
        <v>762</v>
      </c>
      <c r="E92" t="s">
        <v>252</v>
      </c>
      <c r="G92">
        <v>89</v>
      </c>
      <c r="M92">
        <v>91</v>
      </c>
      <c r="N92">
        <f t="shared" ref="N92:R101" si="9">INDEX($G$4:$G$502,(COLUMNS($N$1:$R$1)*(ROW()-ROW($M$2:$M$101)))+(COLUMN()-COLUMN($N$1:$R$1))+1,1)</f>
        <v>91</v>
      </c>
      <c r="O92" t="str">
        <f t="shared" si="9"/>
        <v>University of Birmingham</v>
      </c>
      <c r="P92" t="str">
        <f t="shared" si="9"/>
        <v> Birmingham, United Kingdom</v>
      </c>
      <c r="Q92" t="str">
        <f t="shared" si="9"/>
        <v>61.1</v>
      </c>
      <c r="R92" t="str">
        <f t="shared" si="9"/>
        <v> Shortlist</v>
      </c>
    </row>
    <row r="93" spans="1:18" x14ac:dyDescent="0.45">
      <c r="A93">
        <v>92</v>
      </c>
      <c r="B93">
        <v>92</v>
      </c>
      <c r="C93" t="s">
        <v>763</v>
      </c>
      <c r="D93" t="s">
        <v>764</v>
      </c>
      <c r="E93" t="s">
        <v>207</v>
      </c>
      <c r="G93" t="s">
        <v>631</v>
      </c>
      <c r="M93">
        <v>92</v>
      </c>
      <c r="N93">
        <f t="shared" si="9"/>
        <v>92</v>
      </c>
      <c r="O93" t="str">
        <f t="shared" si="9"/>
        <v>Durham University</v>
      </c>
      <c r="P93" t="str">
        <f t="shared" si="9"/>
        <v> Durham, United Kingdom</v>
      </c>
      <c r="Q93" t="str">
        <f t="shared" si="9"/>
        <v>60.9</v>
      </c>
      <c r="R93" t="str">
        <f t="shared" si="9"/>
        <v> Shortlist</v>
      </c>
    </row>
    <row r="94" spans="1:18" x14ac:dyDescent="0.45">
      <c r="A94">
        <v>93</v>
      </c>
      <c r="B94">
        <v>93</v>
      </c>
      <c r="C94" t="s">
        <v>765</v>
      </c>
      <c r="D94" t="s">
        <v>766</v>
      </c>
      <c r="E94" t="s">
        <v>767</v>
      </c>
      <c r="G94">
        <v>19</v>
      </c>
      <c r="M94">
        <v>93</v>
      </c>
      <c r="N94">
        <f t="shared" si="9"/>
        <v>93</v>
      </c>
      <c r="O94" t="str">
        <f t="shared" si="9"/>
        <v>Pennsylvania State University</v>
      </c>
      <c r="P94" t="str">
        <f t="shared" si="9"/>
        <v> University Park, United States</v>
      </c>
      <c r="Q94" t="str">
        <f t="shared" si="9"/>
        <v>60.8</v>
      </c>
      <c r="R94" t="str">
        <f t="shared" si="9"/>
        <v> Shortlist</v>
      </c>
    </row>
    <row r="95" spans="1:18" x14ac:dyDescent="0.45">
      <c r="A95">
        <v>94</v>
      </c>
      <c r="B95">
        <v>94</v>
      </c>
      <c r="C95" t="s">
        <v>385</v>
      </c>
      <c r="D95" t="s">
        <v>768</v>
      </c>
      <c r="E95" t="s">
        <v>769</v>
      </c>
      <c r="G95" t="s">
        <v>652</v>
      </c>
      <c r="M95">
        <v>94</v>
      </c>
      <c r="N95">
        <f t="shared" si="9"/>
        <v>94</v>
      </c>
      <c r="O95" t="str">
        <f t="shared" si="9"/>
        <v>University of Science and Technology of China</v>
      </c>
      <c r="P95" t="str">
        <f t="shared" si="9"/>
        <v> Hefei, China (Mainland)</v>
      </c>
      <c r="Q95" t="str">
        <f t="shared" si="9"/>
        <v>60.7</v>
      </c>
      <c r="R95" t="str">
        <f t="shared" si="9"/>
        <v> Shortlist</v>
      </c>
    </row>
    <row r="96" spans="1:18" x14ac:dyDescent="0.45">
      <c r="A96">
        <v>95</v>
      </c>
      <c r="B96">
        <v>95</v>
      </c>
      <c r="C96" t="s">
        <v>770</v>
      </c>
      <c r="D96" t="s">
        <v>771</v>
      </c>
      <c r="E96" t="s">
        <v>772</v>
      </c>
      <c r="G96" t="s">
        <v>643</v>
      </c>
      <c r="M96">
        <v>95</v>
      </c>
      <c r="N96">
        <f t="shared" si="9"/>
        <v>95</v>
      </c>
      <c r="O96" t="str">
        <f t="shared" si="9"/>
        <v>Lund University</v>
      </c>
      <c r="P96" t="str">
        <f t="shared" si="9"/>
        <v> Lund, Sweden</v>
      </c>
      <c r="Q96" t="str">
        <f t="shared" si="9"/>
        <v>60.1</v>
      </c>
      <c r="R96" t="str">
        <f t="shared" si="9"/>
        <v> Shortlist</v>
      </c>
    </row>
    <row r="97" spans="1:18" x14ac:dyDescent="0.45">
      <c r="A97">
        <v>96</v>
      </c>
      <c r="B97">
        <v>96</v>
      </c>
      <c r="C97" t="s">
        <v>773</v>
      </c>
      <c r="D97" t="s">
        <v>774</v>
      </c>
      <c r="E97" t="s">
        <v>775</v>
      </c>
      <c r="G97" t="s">
        <v>653</v>
      </c>
      <c r="M97">
        <v>96</v>
      </c>
      <c r="N97">
        <f t="shared" si="9"/>
        <v>96</v>
      </c>
      <c r="O97" t="str">
        <f t="shared" si="9"/>
        <v>The University of Sheffield</v>
      </c>
      <c r="P97" t="str">
        <f t="shared" si="9"/>
        <v> Sheffield, United Kingdom</v>
      </c>
      <c r="Q97" t="str">
        <f t="shared" si="9"/>
        <v>59.5</v>
      </c>
      <c r="R97" t="str">
        <f t="shared" si="9"/>
        <v> Shortlist</v>
      </c>
    </row>
    <row r="98" spans="1:18" x14ac:dyDescent="0.45">
      <c r="A98">
        <v>97</v>
      </c>
      <c r="B98">
        <v>96</v>
      </c>
      <c r="C98" t="s">
        <v>776</v>
      </c>
      <c r="D98" t="s">
        <v>777</v>
      </c>
      <c r="E98" t="s">
        <v>775</v>
      </c>
      <c r="G98" t="s">
        <v>631</v>
      </c>
      <c r="M98">
        <v>97</v>
      </c>
      <c r="N98">
        <f t="shared" si="9"/>
        <v>96</v>
      </c>
      <c r="O98" t="str">
        <f t="shared" si="9"/>
        <v>University of St Andrews</v>
      </c>
      <c r="P98" t="str">
        <f t="shared" si="9"/>
        <v> St. Andrews, United Kingdom</v>
      </c>
      <c r="Q98" t="str">
        <f t="shared" si="9"/>
        <v>59.5</v>
      </c>
      <c r="R98" t="str">
        <f t="shared" si="9"/>
        <v> Shortlist</v>
      </c>
    </row>
    <row r="99" spans="1:18" x14ac:dyDescent="0.45">
      <c r="A99">
        <v>98</v>
      </c>
      <c r="B99">
        <v>98</v>
      </c>
      <c r="C99" t="s">
        <v>778</v>
      </c>
      <c r="D99" t="s">
        <v>779</v>
      </c>
      <c r="E99" t="s">
        <v>71</v>
      </c>
      <c r="G99">
        <v>20</v>
      </c>
      <c r="M99">
        <v>98</v>
      </c>
      <c r="N99">
        <f t="shared" si="9"/>
        <v>98</v>
      </c>
      <c r="O99" t="str">
        <f t="shared" si="9"/>
        <v>Trinity College Dublin, The University of Dublin</v>
      </c>
      <c r="P99" t="str">
        <f t="shared" si="9"/>
        <v> Dublin, Ireland</v>
      </c>
      <c r="Q99" t="str">
        <f t="shared" si="9"/>
        <v>59.1</v>
      </c>
      <c r="R99" t="str">
        <f t="shared" si="9"/>
        <v> Shortlist</v>
      </c>
    </row>
    <row r="100" spans="1:18" x14ac:dyDescent="0.45">
      <c r="A100">
        <v>99</v>
      </c>
      <c r="B100">
        <v>99</v>
      </c>
      <c r="C100" t="s">
        <v>780</v>
      </c>
      <c r="D100" t="s">
        <v>781</v>
      </c>
      <c r="E100" t="s">
        <v>349</v>
      </c>
      <c r="G100" t="s">
        <v>118</v>
      </c>
      <c r="M100">
        <v>99</v>
      </c>
      <c r="N100">
        <f t="shared" si="9"/>
        <v>99</v>
      </c>
      <c r="O100" t="str">
        <f t="shared" si="9"/>
        <v>Sungkyunkwan University (SKKU)</v>
      </c>
      <c r="P100" t="str">
        <f t="shared" si="9"/>
        <v> Suwon, South Korea</v>
      </c>
      <c r="Q100" t="str">
        <f t="shared" si="9"/>
        <v>58.9</v>
      </c>
      <c r="R100" t="str">
        <f t="shared" si="9"/>
        <v> Shortlist</v>
      </c>
    </row>
    <row r="101" spans="1:18" x14ac:dyDescent="0.45">
      <c r="A101">
        <v>100</v>
      </c>
      <c r="B101">
        <v>100</v>
      </c>
      <c r="C101" t="s">
        <v>782</v>
      </c>
      <c r="D101" t="s">
        <v>783</v>
      </c>
      <c r="E101" t="s">
        <v>126</v>
      </c>
      <c r="G101" t="s">
        <v>654</v>
      </c>
      <c r="M101">
        <v>100</v>
      </c>
      <c r="N101">
        <f t="shared" si="9"/>
        <v>100</v>
      </c>
      <c r="O101" t="str">
        <f t="shared" si="9"/>
        <v>Rice University</v>
      </c>
      <c r="P101" t="str">
        <f t="shared" si="9"/>
        <v> Houston, United States</v>
      </c>
      <c r="Q101" t="str">
        <f t="shared" si="9"/>
        <v>58.8</v>
      </c>
      <c r="R101" t="e">
        <f t="shared" si="9"/>
        <v>#REF!</v>
      </c>
    </row>
    <row r="102" spans="1:18" x14ac:dyDescent="0.45">
      <c r="G102" t="s">
        <v>209</v>
      </c>
    </row>
    <row r="103" spans="1:18" x14ac:dyDescent="0.45">
      <c r="G103" t="s">
        <v>631</v>
      </c>
    </row>
    <row r="104" spans="1:18" x14ac:dyDescent="0.45">
      <c r="G104">
        <v>21</v>
      </c>
    </row>
    <row r="105" spans="1:18" x14ac:dyDescent="0.45">
      <c r="G105" t="s">
        <v>621</v>
      </c>
    </row>
    <row r="106" spans="1:18" x14ac:dyDescent="0.45">
      <c r="G106" t="s">
        <v>655</v>
      </c>
    </row>
    <row r="107" spans="1:18" x14ac:dyDescent="0.45">
      <c r="G107">
        <v>87</v>
      </c>
    </row>
    <row r="108" spans="1:18" x14ac:dyDescent="0.45">
      <c r="G108" t="s">
        <v>631</v>
      </c>
    </row>
    <row r="109" spans="1:18" x14ac:dyDescent="0.45">
      <c r="G109">
        <v>22</v>
      </c>
    </row>
    <row r="110" spans="1:18" x14ac:dyDescent="0.45">
      <c r="G110" t="s">
        <v>61</v>
      </c>
    </row>
    <row r="111" spans="1:18" x14ac:dyDescent="0.45">
      <c r="G111" t="s">
        <v>656</v>
      </c>
    </row>
    <row r="112" spans="1:18" x14ac:dyDescent="0.45">
      <c r="G112" t="s">
        <v>223</v>
      </c>
    </row>
    <row r="113" spans="7:7" x14ac:dyDescent="0.45">
      <c r="G113" t="s">
        <v>631</v>
      </c>
    </row>
    <row r="114" spans="7:7" x14ac:dyDescent="0.45">
      <c r="G114">
        <v>23</v>
      </c>
    </row>
    <row r="115" spans="7:7" x14ac:dyDescent="0.45">
      <c r="G115" t="s">
        <v>220</v>
      </c>
    </row>
    <row r="116" spans="7:7" x14ac:dyDescent="0.45">
      <c r="G116" t="s">
        <v>657</v>
      </c>
    </row>
    <row r="117" spans="7:7" x14ac:dyDescent="0.45">
      <c r="G117" t="s">
        <v>658</v>
      </c>
    </row>
    <row r="118" spans="7:7" x14ac:dyDescent="0.45">
      <c r="G118" t="s">
        <v>631</v>
      </c>
    </row>
    <row r="119" spans="7:7" x14ac:dyDescent="0.45">
      <c r="G119">
        <v>24</v>
      </c>
    </row>
    <row r="120" spans="7:7" x14ac:dyDescent="0.45">
      <c r="G120" t="s">
        <v>83</v>
      </c>
    </row>
    <row r="121" spans="7:7" x14ac:dyDescent="0.45">
      <c r="G121" t="s">
        <v>659</v>
      </c>
    </row>
    <row r="122" spans="7:7" x14ac:dyDescent="0.45">
      <c r="G122" t="s">
        <v>660</v>
      </c>
    </row>
    <row r="123" spans="7:7" x14ac:dyDescent="0.45">
      <c r="G123" t="s">
        <v>631</v>
      </c>
    </row>
    <row r="124" spans="7:7" x14ac:dyDescent="0.45">
      <c r="G124">
        <v>25</v>
      </c>
    </row>
    <row r="125" spans="7:7" x14ac:dyDescent="0.45">
      <c r="G125" t="s">
        <v>133</v>
      </c>
    </row>
    <row r="126" spans="7:7" x14ac:dyDescent="0.45">
      <c r="G126" t="s">
        <v>661</v>
      </c>
    </row>
    <row r="127" spans="7:7" x14ac:dyDescent="0.45">
      <c r="G127" t="s">
        <v>662</v>
      </c>
    </row>
    <row r="128" spans="7:7" x14ac:dyDescent="0.45">
      <c r="G128" t="s">
        <v>631</v>
      </c>
    </row>
    <row r="129" spans="7:7" x14ac:dyDescent="0.45">
      <c r="G129">
        <v>26</v>
      </c>
    </row>
    <row r="130" spans="7:7" x14ac:dyDescent="0.45">
      <c r="G130" t="s">
        <v>663</v>
      </c>
    </row>
    <row r="131" spans="7:7" x14ac:dyDescent="0.45">
      <c r="G131" t="s">
        <v>664</v>
      </c>
    </row>
    <row r="132" spans="7:7" x14ac:dyDescent="0.45">
      <c r="G132" t="s">
        <v>665</v>
      </c>
    </row>
    <row r="133" spans="7:7" x14ac:dyDescent="0.45">
      <c r="G133" t="s">
        <v>631</v>
      </c>
    </row>
    <row r="134" spans="7:7" x14ac:dyDescent="0.45">
      <c r="G134">
        <v>27</v>
      </c>
    </row>
    <row r="135" spans="7:7" x14ac:dyDescent="0.45">
      <c r="G135" t="s">
        <v>666</v>
      </c>
    </row>
    <row r="136" spans="7:7" x14ac:dyDescent="0.45">
      <c r="G136" t="s">
        <v>667</v>
      </c>
    </row>
    <row r="137" spans="7:7" x14ac:dyDescent="0.45">
      <c r="G137" t="s">
        <v>140</v>
      </c>
    </row>
    <row r="138" spans="7:7" x14ac:dyDescent="0.45">
      <c r="G138" t="s">
        <v>631</v>
      </c>
    </row>
    <row r="139" spans="7:7" x14ac:dyDescent="0.45">
      <c r="G139">
        <v>28</v>
      </c>
    </row>
    <row r="140" spans="7:7" x14ac:dyDescent="0.45">
      <c r="G140" t="s">
        <v>543</v>
      </c>
    </row>
    <row r="141" spans="7:7" x14ac:dyDescent="0.45">
      <c r="G141" t="s">
        <v>668</v>
      </c>
    </row>
    <row r="142" spans="7:7" x14ac:dyDescent="0.45">
      <c r="G142" t="s">
        <v>669</v>
      </c>
    </row>
    <row r="143" spans="7:7" x14ac:dyDescent="0.45">
      <c r="G143" t="s">
        <v>631</v>
      </c>
    </row>
    <row r="144" spans="7:7" x14ac:dyDescent="0.45">
      <c r="G144">
        <v>29</v>
      </c>
    </row>
    <row r="145" spans="7:7" x14ac:dyDescent="0.45">
      <c r="G145" t="s">
        <v>306</v>
      </c>
    </row>
    <row r="146" spans="7:7" x14ac:dyDescent="0.45">
      <c r="G146" t="s">
        <v>670</v>
      </c>
    </row>
    <row r="147" spans="7:7" x14ac:dyDescent="0.45">
      <c r="G147" t="s">
        <v>176</v>
      </c>
    </row>
    <row r="148" spans="7:7" x14ac:dyDescent="0.45">
      <c r="G148" t="s">
        <v>631</v>
      </c>
    </row>
    <row r="149" spans="7:7" x14ac:dyDescent="0.45">
      <c r="G149">
        <v>30</v>
      </c>
    </row>
    <row r="150" spans="7:7" x14ac:dyDescent="0.45">
      <c r="G150" t="s">
        <v>671</v>
      </c>
    </row>
    <row r="151" spans="7:7" x14ac:dyDescent="0.45">
      <c r="G151" t="s">
        <v>672</v>
      </c>
    </row>
    <row r="152" spans="7:7" x14ac:dyDescent="0.45">
      <c r="G152" t="s">
        <v>152</v>
      </c>
    </row>
    <row r="153" spans="7:7" x14ac:dyDescent="0.45">
      <c r="G153" t="s">
        <v>631</v>
      </c>
    </row>
    <row r="154" spans="7:7" x14ac:dyDescent="0.45">
      <c r="G154">
        <v>31</v>
      </c>
    </row>
    <row r="155" spans="7:7" x14ac:dyDescent="0.45">
      <c r="G155" t="s">
        <v>253</v>
      </c>
    </row>
    <row r="156" spans="7:7" x14ac:dyDescent="0.45">
      <c r="G156" t="s">
        <v>673</v>
      </c>
    </row>
    <row r="157" spans="7:7" x14ac:dyDescent="0.45">
      <c r="G157" t="s">
        <v>674</v>
      </c>
    </row>
    <row r="158" spans="7:7" x14ac:dyDescent="0.45">
      <c r="G158" t="s">
        <v>631</v>
      </c>
    </row>
    <row r="159" spans="7:7" x14ac:dyDescent="0.45">
      <c r="G159">
        <v>32</v>
      </c>
    </row>
    <row r="160" spans="7:7" x14ac:dyDescent="0.45">
      <c r="G160" t="s">
        <v>151</v>
      </c>
    </row>
    <row r="161" spans="7:7" x14ac:dyDescent="0.45">
      <c r="G161" t="s">
        <v>675</v>
      </c>
    </row>
    <row r="162" spans="7:7" x14ac:dyDescent="0.45">
      <c r="G162" t="s">
        <v>165</v>
      </c>
    </row>
    <row r="163" spans="7:7" x14ac:dyDescent="0.45">
      <c r="G163" t="s">
        <v>631</v>
      </c>
    </row>
    <row r="164" spans="7:7" x14ac:dyDescent="0.45">
      <c r="G164">
        <v>33</v>
      </c>
    </row>
    <row r="165" spans="7:7" x14ac:dyDescent="0.45">
      <c r="G165" t="s">
        <v>533</v>
      </c>
    </row>
    <row r="166" spans="7:7" x14ac:dyDescent="0.45">
      <c r="G166" t="s">
        <v>676</v>
      </c>
    </row>
    <row r="167" spans="7:7" x14ac:dyDescent="0.45">
      <c r="G167" t="s">
        <v>677</v>
      </c>
    </row>
    <row r="168" spans="7:7" x14ac:dyDescent="0.45">
      <c r="G168" t="s">
        <v>631</v>
      </c>
    </row>
    <row r="169" spans="7:7" x14ac:dyDescent="0.45">
      <c r="G169">
        <f>34</f>
        <v>34</v>
      </c>
    </row>
    <row r="170" spans="7:7" x14ac:dyDescent="0.45">
      <c r="G170" t="s">
        <v>282</v>
      </c>
    </row>
    <row r="171" spans="7:7" x14ac:dyDescent="0.45">
      <c r="G171" t="s">
        <v>678</v>
      </c>
    </row>
    <row r="172" spans="7:7" x14ac:dyDescent="0.45">
      <c r="G172" t="s">
        <v>679</v>
      </c>
    </row>
    <row r="173" spans="7:7" x14ac:dyDescent="0.45">
      <c r="G173" t="s">
        <v>631</v>
      </c>
    </row>
    <row r="174" spans="7:7" x14ac:dyDescent="0.45">
      <c r="G174">
        <f>34</f>
        <v>34</v>
      </c>
    </row>
    <row r="175" spans="7:7" x14ac:dyDescent="0.45">
      <c r="G175" t="s">
        <v>102</v>
      </c>
    </row>
    <row r="176" spans="7:7" x14ac:dyDescent="0.45">
      <c r="G176" t="s">
        <v>680</v>
      </c>
    </row>
    <row r="177" spans="7:7" x14ac:dyDescent="0.45">
      <c r="G177" t="s">
        <v>679</v>
      </c>
    </row>
    <row r="178" spans="7:7" x14ac:dyDescent="0.45">
      <c r="G178" t="s">
        <v>631</v>
      </c>
    </row>
    <row r="179" spans="7:7" x14ac:dyDescent="0.45">
      <c r="G179">
        <v>36</v>
      </c>
    </row>
    <row r="180" spans="7:7" x14ac:dyDescent="0.45">
      <c r="G180" t="s">
        <v>360</v>
      </c>
    </row>
    <row r="181" spans="7:7" x14ac:dyDescent="0.45">
      <c r="G181" t="s">
        <v>681</v>
      </c>
    </row>
    <row r="182" spans="7:7" x14ac:dyDescent="0.45">
      <c r="G182" t="s">
        <v>682</v>
      </c>
    </row>
    <row r="183" spans="7:7" x14ac:dyDescent="0.45">
      <c r="G183" t="s">
        <v>631</v>
      </c>
    </row>
    <row r="184" spans="7:7" x14ac:dyDescent="0.45">
      <c r="G184">
        <v>37</v>
      </c>
    </row>
    <row r="185" spans="7:7" x14ac:dyDescent="0.45">
      <c r="G185" t="s">
        <v>558</v>
      </c>
    </row>
    <row r="186" spans="7:7" x14ac:dyDescent="0.45">
      <c r="G186" t="s">
        <v>639</v>
      </c>
    </row>
    <row r="187" spans="7:7" x14ac:dyDescent="0.45">
      <c r="G187" t="s">
        <v>219</v>
      </c>
    </row>
    <row r="188" spans="7:7" x14ac:dyDescent="0.45">
      <c r="G188" t="s">
        <v>631</v>
      </c>
    </row>
    <row r="189" spans="7:7" x14ac:dyDescent="0.45">
      <c r="G189">
        <v>38</v>
      </c>
    </row>
    <row r="190" spans="7:7" x14ac:dyDescent="0.45">
      <c r="G190" t="s">
        <v>683</v>
      </c>
    </row>
    <row r="191" spans="7:7" x14ac:dyDescent="0.45">
      <c r="G191" t="s">
        <v>684</v>
      </c>
    </row>
    <row r="192" spans="7:7" x14ac:dyDescent="0.45">
      <c r="G192" t="s">
        <v>685</v>
      </c>
    </row>
    <row r="193" spans="7:7" x14ac:dyDescent="0.45">
      <c r="G193" t="s">
        <v>631</v>
      </c>
    </row>
    <row r="194" spans="7:7" x14ac:dyDescent="0.45">
      <c r="G194">
        <v>39</v>
      </c>
    </row>
    <row r="195" spans="7:7" x14ac:dyDescent="0.45">
      <c r="G195" t="s">
        <v>686</v>
      </c>
    </row>
    <row r="196" spans="7:7" x14ac:dyDescent="0.45">
      <c r="G196" t="s">
        <v>656</v>
      </c>
    </row>
    <row r="197" spans="7:7" x14ac:dyDescent="0.45">
      <c r="G197" t="s">
        <v>42</v>
      </c>
    </row>
    <row r="198" spans="7:7" x14ac:dyDescent="0.45">
      <c r="G198" t="s">
        <v>631</v>
      </c>
    </row>
    <row r="199" spans="7:7" x14ac:dyDescent="0.45">
      <c r="G199">
        <v>40</v>
      </c>
    </row>
    <row r="200" spans="7:7" x14ac:dyDescent="0.45">
      <c r="G200" t="s">
        <v>319</v>
      </c>
    </row>
    <row r="201" spans="7:7" x14ac:dyDescent="0.45">
      <c r="G201" t="s">
        <v>684</v>
      </c>
    </row>
    <row r="202" spans="7:7" x14ac:dyDescent="0.45">
      <c r="G202" t="s">
        <v>26</v>
      </c>
    </row>
    <row r="203" spans="7:7" x14ac:dyDescent="0.45">
      <c r="G203" t="s">
        <v>631</v>
      </c>
    </row>
    <row r="204" spans="7:7" x14ac:dyDescent="0.45">
      <c r="G204">
        <v>41</v>
      </c>
    </row>
    <row r="205" spans="7:7" x14ac:dyDescent="0.45">
      <c r="G205" t="s">
        <v>301</v>
      </c>
    </row>
    <row r="206" spans="7:7" x14ac:dyDescent="0.45">
      <c r="G206" t="s">
        <v>687</v>
      </c>
    </row>
    <row r="207" spans="7:7" x14ac:dyDescent="0.45">
      <c r="G207" t="s">
        <v>688</v>
      </c>
    </row>
    <row r="208" spans="7:7" x14ac:dyDescent="0.45">
      <c r="G208" t="s">
        <v>631</v>
      </c>
    </row>
    <row r="209" spans="7:7" x14ac:dyDescent="0.45">
      <c r="G209">
        <f>42</f>
        <v>42</v>
      </c>
    </row>
    <row r="210" spans="7:7" x14ac:dyDescent="0.45">
      <c r="G210" t="s">
        <v>689</v>
      </c>
    </row>
    <row r="211" spans="7:7" x14ac:dyDescent="0.45">
      <c r="G211" t="s">
        <v>690</v>
      </c>
    </row>
    <row r="212" spans="7:7" x14ac:dyDescent="0.45">
      <c r="G212" t="s">
        <v>135</v>
      </c>
    </row>
    <row r="213" spans="7:7" x14ac:dyDescent="0.45">
      <c r="G213" t="s">
        <v>631</v>
      </c>
    </row>
    <row r="214" spans="7:7" x14ac:dyDescent="0.45">
      <c r="G214">
        <f>42</f>
        <v>42</v>
      </c>
    </row>
    <row r="215" spans="7:7" x14ac:dyDescent="0.45">
      <c r="G215" t="s">
        <v>355</v>
      </c>
    </row>
    <row r="216" spans="7:7" x14ac:dyDescent="0.45">
      <c r="G216" t="s">
        <v>691</v>
      </c>
    </row>
    <row r="217" spans="7:7" x14ac:dyDescent="0.45">
      <c r="G217" t="s">
        <v>135</v>
      </c>
    </row>
    <row r="218" spans="7:7" x14ac:dyDescent="0.45">
      <c r="G218" t="s">
        <v>631</v>
      </c>
    </row>
    <row r="219" spans="7:7" x14ac:dyDescent="0.45">
      <c r="G219">
        <v>44</v>
      </c>
    </row>
    <row r="220" spans="7:7" x14ac:dyDescent="0.45">
      <c r="G220" t="s">
        <v>692</v>
      </c>
    </row>
    <row r="221" spans="7:7" x14ac:dyDescent="0.45">
      <c r="G221" t="s">
        <v>693</v>
      </c>
    </row>
    <row r="222" spans="7:7" x14ac:dyDescent="0.45">
      <c r="G222" t="s">
        <v>413</v>
      </c>
    </row>
    <row r="223" spans="7:7" x14ac:dyDescent="0.45">
      <c r="G223" t="s">
        <v>631</v>
      </c>
    </row>
    <row r="224" spans="7:7" x14ac:dyDescent="0.45">
      <c r="G224">
        <v>45</v>
      </c>
    </row>
    <row r="225" spans="7:7" x14ac:dyDescent="0.45">
      <c r="G225" t="s">
        <v>694</v>
      </c>
    </row>
    <row r="226" spans="7:7" x14ac:dyDescent="0.45">
      <c r="G226" t="s">
        <v>687</v>
      </c>
    </row>
    <row r="227" spans="7:7" x14ac:dyDescent="0.45">
      <c r="G227">
        <v>78</v>
      </c>
    </row>
    <row r="228" spans="7:7" x14ac:dyDescent="0.45">
      <c r="G228" t="s">
        <v>631</v>
      </c>
    </row>
    <row r="229" spans="7:7" x14ac:dyDescent="0.45">
      <c r="G229">
        <v>46</v>
      </c>
    </row>
    <row r="230" spans="7:7" x14ac:dyDescent="0.45">
      <c r="G230" t="s">
        <v>286</v>
      </c>
    </row>
    <row r="231" spans="7:7" x14ac:dyDescent="0.45">
      <c r="G231" t="s">
        <v>678</v>
      </c>
    </row>
    <row r="232" spans="7:7" x14ac:dyDescent="0.45">
      <c r="G232" t="s">
        <v>695</v>
      </c>
    </row>
    <row r="233" spans="7:7" x14ac:dyDescent="0.45">
      <c r="G233" t="s">
        <v>631</v>
      </c>
    </row>
    <row r="234" spans="7:7" x14ac:dyDescent="0.45">
      <c r="G234">
        <v>47</v>
      </c>
    </row>
    <row r="235" spans="7:7" x14ac:dyDescent="0.45">
      <c r="G235" t="s">
        <v>225</v>
      </c>
    </row>
    <row r="236" spans="7:7" x14ac:dyDescent="0.45">
      <c r="G236" t="s">
        <v>696</v>
      </c>
    </row>
    <row r="237" spans="7:7" x14ac:dyDescent="0.45">
      <c r="G237">
        <v>77</v>
      </c>
    </row>
    <row r="238" spans="7:7" x14ac:dyDescent="0.45">
      <c r="G238" t="s">
        <v>631</v>
      </c>
    </row>
    <row r="239" spans="7:7" x14ac:dyDescent="0.45">
      <c r="G239">
        <v>48</v>
      </c>
    </row>
    <row r="240" spans="7:7" x14ac:dyDescent="0.45">
      <c r="G240" t="s">
        <v>466</v>
      </c>
    </row>
    <row r="241" spans="7:7" x14ac:dyDescent="0.45">
      <c r="G241" t="s">
        <v>697</v>
      </c>
    </row>
    <row r="242" spans="7:7" x14ac:dyDescent="0.45">
      <c r="G242" t="s">
        <v>46</v>
      </c>
    </row>
    <row r="243" spans="7:7" x14ac:dyDescent="0.45">
      <c r="G243" t="s">
        <v>631</v>
      </c>
    </row>
    <row r="244" spans="7:7" x14ac:dyDescent="0.45">
      <c r="G244">
        <v>49</v>
      </c>
    </row>
    <row r="245" spans="7:7" x14ac:dyDescent="0.45">
      <c r="G245" t="s">
        <v>173</v>
      </c>
    </row>
    <row r="246" spans="7:7" x14ac:dyDescent="0.45">
      <c r="G246" t="s">
        <v>698</v>
      </c>
    </row>
    <row r="247" spans="7:7" x14ac:dyDescent="0.45">
      <c r="G247" t="s">
        <v>113</v>
      </c>
    </row>
    <row r="248" spans="7:7" x14ac:dyDescent="0.45">
      <c r="G248" t="s">
        <v>631</v>
      </c>
    </row>
    <row r="249" spans="7:7" x14ac:dyDescent="0.45">
      <c r="G249">
        <f>50</f>
        <v>50</v>
      </c>
    </row>
    <row r="250" spans="7:7" x14ac:dyDescent="0.45">
      <c r="G250" t="s">
        <v>145</v>
      </c>
    </row>
    <row r="251" spans="7:7" x14ac:dyDescent="0.45">
      <c r="G251" t="s">
        <v>699</v>
      </c>
    </row>
    <row r="252" spans="7:7" x14ac:dyDescent="0.45">
      <c r="G252" t="s">
        <v>357</v>
      </c>
    </row>
    <row r="253" spans="7:7" x14ac:dyDescent="0.45">
      <c r="G253" t="s">
        <v>631</v>
      </c>
    </row>
    <row r="254" spans="7:7" x14ac:dyDescent="0.45">
      <c r="G254">
        <f>50</f>
        <v>50</v>
      </c>
    </row>
    <row r="255" spans="7:7" x14ac:dyDescent="0.45">
      <c r="G255" t="s">
        <v>289</v>
      </c>
    </row>
    <row r="256" spans="7:7" x14ac:dyDescent="0.45">
      <c r="G256" t="s">
        <v>700</v>
      </c>
    </row>
    <row r="257" spans="7:7" x14ac:dyDescent="0.45">
      <c r="G257" t="s">
        <v>357</v>
      </c>
    </row>
    <row r="258" spans="7:7" x14ac:dyDescent="0.45">
      <c r="G258" t="s">
        <v>631</v>
      </c>
    </row>
    <row r="259" spans="7:7" x14ac:dyDescent="0.45">
      <c r="G259">
        <v>52</v>
      </c>
    </row>
    <row r="260" spans="7:7" x14ac:dyDescent="0.45">
      <c r="G260" t="s">
        <v>162</v>
      </c>
    </row>
    <row r="261" spans="7:7" x14ac:dyDescent="0.45">
      <c r="G261" t="s">
        <v>701</v>
      </c>
    </row>
    <row r="262" spans="7:7" x14ac:dyDescent="0.45">
      <c r="G262" t="s">
        <v>236</v>
      </c>
    </row>
    <row r="263" spans="7:7" x14ac:dyDescent="0.45">
      <c r="G263" t="s">
        <v>631</v>
      </c>
    </row>
    <row r="264" spans="7:7" x14ac:dyDescent="0.45">
      <c r="G264">
        <v>53</v>
      </c>
    </row>
    <row r="265" spans="7:7" x14ac:dyDescent="0.45">
      <c r="G265" t="s">
        <v>702</v>
      </c>
    </row>
    <row r="266" spans="7:7" x14ac:dyDescent="0.45">
      <c r="G266" t="s">
        <v>703</v>
      </c>
    </row>
    <row r="267" spans="7:7" x14ac:dyDescent="0.45">
      <c r="G267" t="s">
        <v>129</v>
      </c>
    </row>
    <row r="268" spans="7:7" x14ac:dyDescent="0.45">
      <c r="G268" t="s">
        <v>631</v>
      </c>
    </row>
    <row r="269" spans="7:7" x14ac:dyDescent="0.45">
      <c r="G269">
        <v>54</v>
      </c>
    </row>
    <row r="270" spans="7:7" x14ac:dyDescent="0.45">
      <c r="G270" t="s">
        <v>474</v>
      </c>
    </row>
    <row r="271" spans="7:7" x14ac:dyDescent="0.45">
      <c r="G271" t="s">
        <v>704</v>
      </c>
    </row>
    <row r="272" spans="7:7" x14ac:dyDescent="0.45">
      <c r="G272" t="s">
        <v>246</v>
      </c>
    </row>
    <row r="273" spans="7:7" x14ac:dyDescent="0.45">
      <c r="G273" t="s">
        <v>631</v>
      </c>
    </row>
    <row r="274" spans="7:7" x14ac:dyDescent="0.45">
      <c r="G274">
        <v>55</v>
      </c>
    </row>
    <row r="275" spans="7:7" x14ac:dyDescent="0.45">
      <c r="G275" t="s">
        <v>705</v>
      </c>
    </row>
    <row r="276" spans="7:7" x14ac:dyDescent="0.45">
      <c r="G276" t="s">
        <v>657</v>
      </c>
    </row>
    <row r="277" spans="7:7" x14ac:dyDescent="0.45">
      <c r="G277" t="s">
        <v>706</v>
      </c>
    </row>
    <row r="278" spans="7:7" x14ac:dyDescent="0.45">
      <c r="G278" t="s">
        <v>631</v>
      </c>
    </row>
    <row r="279" spans="7:7" x14ac:dyDescent="0.45">
      <c r="G279">
        <v>56</v>
      </c>
    </row>
    <row r="280" spans="7:7" x14ac:dyDescent="0.45">
      <c r="G280" t="s">
        <v>707</v>
      </c>
    </row>
    <row r="281" spans="7:7" x14ac:dyDescent="0.45">
      <c r="G281" t="s">
        <v>639</v>
      </c>
    </row>
    <row r="282" spans="7:7" x14ac:dyDescent="0.45">
      <c r="G282" t="s">
        <v>277</v>
      </c>
    </row>
    <row r="283" spans="7:7" x14ac:dyDescent="0.45">
      <c r="G283" t="s">
        <v>631</v>
      </c>
    </row>
    <row r="284" spans="7:7" x14ac:dyDescent="0.45">
      <c r="G284">
        <v>57</v>
      </c>
    </row>
    <row r="285" spans="7:7" x14ac:dyDescent="0.45">
      <c r="G285" t="s">
        <v>245</v>
      </c>
    </row>
    <row r="286" spans="7:7" x14ac:dyDescent="0.45">
      <c r="G286" t="s">
        <v>708</v>
      </c>
    </row>
    <row r="287" spans="7:7" x14ac:dyDescent="0.45">
      <c r="G287" t="s">
        <v>158</v>
      </c>
    </row>
    <row r="288" spans="7:7" x14ac:dyDescent="0.45">
      <c r="G288" t="s">
        <v>631</v>
      </c>
    </row>
    <row r="289" spans="7:7" x14ac:dyDescent="0.45">
      <c r="G289">
        <v>58</v>
      </c>
    </row>
    <row r="290" spans="7:7" x14ac:dyDescent="0.45">
      <c r="G290" t="s">
        <v>326</v>
      </c>
    </row>
    <row r="291" spans="7:7" x14ac:dyDescent="0.45">
      <c r="G291" t="s">
        <v>709</v>
      </c>
    </row>
    <row r="292" spans="7:7" x14ac:dyDescent="0.45">
      <c r="G292" t="s">
        <v>290</v>
      </c>
    </row>
    <row r="293" spans="7:7" x14ac:dyDescent="0.45">
      <c r="G293" t="s">
        <v>631</v>
      </c>
    </row>
    <row r="294" spans="7:7" x14ac:dyDescent="0.45">
      <c r="G294">
        <v>59</v>
      </c>
    </row>
    <row r="295" spans="7:7" x14ac:dyDescent="0.45">
      <c r="G295" t="s">
        <v>710</v>
      </c>
    </row>
    <row r="296" spans="7:7" x14ac:dyDescent="0.45">
      <c r="G296" t="s">
        <v>698</v>
      </c>
    </row>
    <row r="297" spans="7:7" x14ac:dyDescent="0.45">
      <c r="G297" t="s">
        <v>711</v>
      </c>
    </row>
    <row r="298" spans="7:7" x14ac:dyDescent="0.45">
      <c r="G298" t="s">
        <v>631</v>
      </c>
    </row>
    <row r="299" spans="7:7" x14ac:dyDescent="0.45">
      <c r="G299">
        <v>60</v>
      </c>
    </row>
    <row r="300" spans="7:7" x14ac:dyDescent="0.45">
      <c r="G300" t="s">
        <v>446</v>
      </c>
    </row>
    <row r="301" spans="7:7" x14ac:dyDescent="0.45">
      <c r="G301" t="s">
        <v>664</v>
      </c>
    </row>
    <row r="302" spans="7:7" x14ac:dyDescent="0.45">
      <c r="G302" t="s">
        <v>574</v>
      </c>
    </row>
    <row r="303" spans="7:7" x14ac:dyDescent="0.45">
      <c r="G303" t="s">
        <v>631</v>
      </c>
    </row>
    <row r="304" spans="7:7" x14ac:dyDescent="0.45">
      <c r="G304">
        <f>61</f>
        <v>61</v>
      </c>
    </row>
    <row r="305" spans="7:7" x14ac:dyDescent="0.45">
      <c r="G305" t="s">
        <v>369</v>
      </c>
    </row>
    <row r="306" spans="7:7" x14ac:dyDescent="0.45">
      <c r="G306" t="s">
        <v>712</v>
      </c>
    </row>
    <row r="307" spans="7:7" x14ac:dyDescent="0.45">
      <c r="G307">
        <v>70</v>
      </c>
    </row>
    <row r="308" spans="7:7" x14ac:dyDescent="0.45">
      <c r="G308" t="s">
        <v>631</v>
      </c>
    </row>
    <row r="309" spans="7:7" x14ac:dyDescent="0.45">
      <c r="G309">
        <f>61</f>
        <v>61</v>
      </c>
    </row>
    <row r="310" spans="7:7" x14ac:dyDescent="0.45">
      <c r="G310" t="s">
        <v>392</v>
      </c>
    </row>
    <row r="311" spans="7:7" x14ac:dyDescent="0.45">
      <c r="G311" t="s">
        <v>713</v>
      </c>
    </row>
    <row r="312" spans="7:7" x14ac:dyDescent="0.45">
      <c r="G312">
        <v>70</v>
      </c>
    </row>
    <row r="313" spans="7:7" x14ac:dyDescent="0.45">
      <c r="G313" t="s">
        <v>631</v>
      </c>
    </row>
    <row r="314" spans="7:7" x14ac:dyDescent="0.45">
      <c r="G314">
        <v>63</v>
      </c>
    </row>
    <row r="315" spans="7:7" x14ac:dyDescent="0.45">
      <c r="G315" t="s">
        <v>332</v>
      </c>
    </row>
    <row r="316" spans="7:7" x14ac:dyDescent="0.45">
      <c r="G316" t="s">
        <v>714</v>
      </c>
    </row>
    <row r="317" spans="7:7" x14ac:dyDescent="0.45">
      <c r="G317" t="s">
        <v>327</v>
      </c>
    </row>
    <row r="318" spans="7:7" x14ac:dyDescent="0.45">
      <c r="G318" t="s">
        <v>631</v>
      </c>
    </row>
    <row r="319" spans="7:7" x14ac:dyDescent="0.45">
      <c r="G319">
        <v>64</v>
      </c>
    </row>
    <row r="320" spans="7:7" x14ac:dyDescent="0.45">
      <c r="G320" t="s">
        <v>715</v>
      </c>
    </row>
    <row r="321" spans="7:7" x14ac:dyDescent="0.45">
      <c r="G321" t="s">
        <v>716</v>
      </c>
    </row>
    <row r="322" spans="7:7" x14ac:dyDescent="0.45">
      <c r="G322" t="s">
        <v>717</v>
      </c>
    </row>
    <row r="323" spans="7:7" x14ac:dyDescent="0.45">
      <c r="G323" t="s">
        <v>631</v>
      </c>
    </row>
    <row r="324" spans="7:7" x14ac:dyDescent="0.45">
      <c r="G324">
        <f>65</f>
        <v>65</v>
      </c>
    </row>
    <row r="325" spans="7:7" x14ac:dyDescent="0.45">
      <c r="G325" t="s">
        <v>239</v>
      </c>
    </row>
    <row r="326" spans="7:7" x14ac:dyDescent="0.45">
      <c r="G326" t="s">
        <v>718</v>
      </c>
    </row>
    <row r="327" spans="7:7" x14ac:dyDescent="0.45">
      <c r="G327">
        <v>69</v>
      </c>
    </row>
    <row r="328" spans="7:7" x14ac:dyDescent="0.45">
      <c r="G328" t="s">
        <v>631</v>
      </c>
    </row>
    <row r="329" spans="7:7" x14ac:dyDescent="0.45">
      <c r="G329">
        <f>65</f>
        <v>65</v>
      </c>
    </row>
    <row r="330" spans="7:7" x14ac:dyDescent="0.45">
      <c r="G330" t="s">
        <v>719</v>
      </c>
    </row>
    <row r="331" spans="7:7" x14ac:dyDescent="0.45">
      <c r="G331" t="s">
        <v>684</v>
      </c>
    </row>
    <row r="332" spans="7:7" x14ac:dyDescent="0.45">
      <c r="G332">
        <v>69</v>
      </c>
    </row>
    <row r="333" spans="7:7" x14ac:dyDescent="0.45">
      <c r="G333" t="s">
        <v>631</v>
      </c>
    </row>
    <row r="334" spans="7:7" x14ac:dyDescent="0.45">
      <c r="G334">
        <v>67</v>
      </c>
    </row>
    <row r="335" spans="7:7" x14ac:dyDescent="0.45">
      <c r="G335" t="s">
        <v>720</v>
      </c>
    </row>
    <row r="336" spans="7:7" x14ac:dyDescent="0.45">
      <c r="G336" t="s">
        <v>721</v>
      </c>
    </row>
    <row r="337" spans="7:7" x14ac:dyDescent="0.45">
      <c r="G337" t="s">
        <v>400</v>
      </c>
    </row>
    <row r="338" spans="7:7" x14ac:dyDescent="0.45">
      <c r="G338" t="s">
        <v>631</v>
      </c>
    </row>
    <row r="339" spans="7:7" x14ac:dyDescent="0.45">
      <c r="G339">
        <v>68</v>
      </c>
    </row>
    <row r="340" spans="7:7" x14ac:dyDescent="0.45">
      <c r="G340" t="s">
        <v>722</v>
      </c>
    </row>
    <row r="341" spans="7:7" x14ac:dyDescent="0.45">
      <c r="G341" t="s">
        <v>723</v>
      </c>
    </row>
    <row r="342" spans="7:7" x14ac:dyDescent="0.45">
      <c r="G342" t="s">
        <v>261</v>
      </c>
    </row>
    <row r="343" spans="7:7" x14ac:dyDescent="0.45">
      <c r="G343" t="s">
        <v>631</v>
      </c>
    </row>
    <row r="344" spans="7:7" x14ac:dyDescent="0.45">
      <c r="G344">
        <v>69</v>
      </c>
    </row>
    <row r="345" spans="7:7" x14ac:dyDescent="0.45">
      <c r="G345" t="s">
        <v>456</v>
      </c>
    </row>
    <row r="346" spans="7:7" x14ac:dyDescent="0.45">
      <c r="G346" t="s">
        <v>724</v>
      </c>
    </row>
    <row r="347" spans="7:7" x14ac:dyDescent="0.45">
      <c r="G347" t="s">
        <v>356</v>
      </c>
    </row>
    <row r="348" spans="7:7" x14ac:dyDescent="0.45">
      <c r="G348" t="s">
        <v>631</v>
      </c>
    </row>
    <row r="349" spans="7:7" x14ac:dyDescent="0.45">
      <c r="G349">
        <v>70</v>
      </c>
    </row>
    <row r="350" spans="7:7" x14ac:dyDescent="0.45">
      <c r="G350" t="s">
        <v>725</v>
      </c>
    </row>
    <row r="351" spans="7:7" x14ac:dyDescent="0.45">
      <c r="G351" t="s">
        <v>726</v>
      </c>
    </row>
    <row r="352" spans="7:7" x14ac:dyDescent="0.45">
      <c r="G352" t="s">
        <v>727</v>
      </c>
    </row>
    <row r="353" spans="7:7" x14ac:dyDescent="0.45">
      <c r="G353" t="s">
        <v>631</v>
      </c>
    </row>
    <row r="354" spans="7:7" x14ac:dyDescent="0.45">
      <c r="G354">
        <v>71</v>
      </c>
    </row>
    <row r="355" spans="7:7" x14ac:dyDescent="0.45">
      <c r="G355" t="s">
        <v>728</v>
      </c>
    </row>
    <row r="356" spans="7:7" x14ac:dyDescent="0.45">
      <c r="G356" t="s">
        <v>729</v>
      </c>
    </row>
    <row r="357" spans="7:7" x14ac:dyDescent="0.45">
      <c r="G357" t="s">
        <v>370</v>
      </c>
    </row>
    <row r="358" spans="7:7" x14ac:dyDescent="0.45">
      <c r="G358" t="s">
        <v>631</v>
      </c>
    </row>
    <row r="359" spans="7:7" x14ac:dyDescent="0.45">
      <c r="G359">
        <v>72</v>
      </c>
    </row>
    <row r="360" spans="7:7" x14ac:dyDescent="0.45">
      <c r="G360" t="s">
        <v>276</v>
      </c>
    </row>
    <row r="361" spans="7:7" x14ac:dyDescent="0.45">
      <c r="G361" t="s">
        <v>730</v>
      </c>
    </row>
    <row r="362" spans="7:7" x14ac:dyDescent="0.45">
      <c r="G362" t="s">
        <v>731</v>
      </c>
    </row>
    <row r="363" spans="7:7" x14ac:dyDescent="0.45">
      <c r="G363" t="s">
        <v>631</v>
      </c>
    </row>
    <row r="364" spans="7:7" x14ac:dyDescent="0.45">
      <c r="G364">
        <v>73</v>
      </c>
    </row>
    <row r="365" spans="7:7" x14ac:dyDescent="0.45">
      <c r="G365" t="s">
        <v>732</v>
      </c>
    </row>
    <row r="366" spans="7:7" x14ac:dyDescent="0.45">
      <c r="G366" t="s">
        <v>670</v>
      </c>
    </row>
    <row r="367" spans="7:7" x14ac:dyDescent="0.45">
      <c r="G367">
        <v>67</v>
      </c>
    </row>
    <row r="368" spans="7:7" x14ac:dyDescent="0.45">
      <c r="G368" t="s">
        <v>631</v>
      </c>
    </row>
    <row r="369" spans="7:7" x14ac:dyDescent="0.45">
      <c r="G369">
        <v>74</v>
      </c>
    </row>
    <row r="370" spans="7:7" x14ac:dyDescent="0.45">
      <c r="G370" t="s">
        <v>733</v>
      </c>
    </row>
    <row r="371" spans="7:7" x14ac:dyDescent="0.45">
      <c r="G371" t="s">
        <v>670</v>
      </c>
    </row>
    <row r="372" spans="7:7" x14ac:dyDescent="0.45">
      <c r="G372" t="s">
        <v>170</v>
      </c>
    </row>
    <row r="373" spans="7:7" x14ac:dyDescent="0.45">
      <c r="G373" t="s">
        <v>631</v>
      </c>
    </row>
    <row r="374" spans="7:7" x14ac:dyDescent="0.45">
      <c r="G374">
        <v>75</v>
      </c>
    </row>
    <row r="375" spans="7:7" x14ac:dyDescent="0.45">
      <c r="G375" t="s">
        <v>734</v>
      </c>
    </row>
    <row r="376" spans="7:7" x14ac:dyDescent="0.45">
      <c r="G376" t="s">
        <v>735</v>
      </c>
    </row>
    <row r="377" spans="7:7" x14ac:dyDescent="0.45">
      <c r="G377" t="s">
        <v>736</v>
      </c>
    </row>
    <row r="378" spans="7:7" x14ac:dyDescent="0.45">
      <c r="G378" t="s">
        <v>631</v>
      </c>
    </row>
    <row r="379" spans="7:7" x14ac:dyDescent="0.45">
      <c r="G379">
        <v>76</v>
      </c>
    </row>
    <row r="380" spans="7:7" x14ac:dyDescent="0.45">
      <c r="G380" t="s">
        <v>234</v>
      </c>
    </row>
    <row r="381" spans="7:7" x14ac:dyDescent="0.45">
      <c r="G381" t="s">
        <v>737</v>
      </c>
    </row>
    <row r="382" spans="7:7" x14ac:dyDescent="0.45">
      <c r="G382">
        <v>66</v>
      </c>
    </row>
    <row r="383" spans="7:7" x14ac:dyDescent="0.45">
      <c r="G383" t="s">
        <v>631</v>
      </c>
    </row>
    <row r="384" spans="7:7" x14ac:dyDescent="0.45">
      <c r="G384">
        <v>77</v>
      </c>
    </row>
    <row r="385" spans="7:7" x14ac:dyDescent="0.45">
      <c r="G385" t="s">
        <v>738</v>
      </c>
    </row>
    <row r="386" spans="7:7" x14ac:dyDescent="0.45">
      <c r="G386" t="s">
        <v>739</v>
      </c>
    </row>
    <row r="387" spans="7:7" x14ac:dyDescent="0.45">
      <c r="G387" t="s">
        <v>409</v>
      </c>
    </row>
    <row r="388" spans="7:7" x14ac:dyDescent="0.45">
      <c r="G388" t="s">
        <v>631</v>
      </c>
    </row>
    <row r="389" spans="7:7" x14ac:dyDescent="0.45">
      <c r="G389">
        <v>78</v>
      </c>
    </row>
    <row r="390" spans="7:7" x14ac:dyDescent="0.45">
      <c r="G390" t="s">
        <v>740</v>
      </c>
    </row>
    <row r="391" spans="7:7" x14ac:dyDescent="0.45">
      <c r="G391" t="s">
        <v>741</v>
      </c>
    </row>
    <row r="392" spans="7:7" x14ac:dyDescent="0.45">
      <c r="G392">
        <v>65</v>
      </c>
    </row>
    <row r="393" spans="7:7" x14ac:dyDescent="0.45">
      <c r="G393" t="s">
        <v>631</v>
      </c>
    </row>
    <row r="394" spans="7:7" x14ac:dyDescent="0.45">
      <c r="G394">
        <v>79</v>
      </c>
    </row>
    <row r="395" spans="7:7" x14ac:dyDescent="0.45">
      <c r="G395" t="s">
        <v>742</v>
      </c>
    </row>
    <row r="396" spans="7:7" x14ac:dyDescent="0.45">
      <c r="G396" t="s">
        <v>743</v>
      </c>
    </row>
    <row r="397" spans="7:7" x14ac:dyDescent="0.45">
      <c r="G397" t="s">
        <v>218</v>
      </c>
    </row>
    <row r="398" spans="7:7" x14ac:dyDescent="0.45">
      <c r="G398" t="s">
        <v>631</v>
      </c>
    </row>
    <row r="399" spans="7:7" x14ac:dyDescent="0.45">
      <c r="G399">
        <v>80</v>
      </c>
    </row>
    <row r="400" spans="7:7" x14ac:dyDescent="0.45">
      <c r="G400" t="s">
        <v>157</v>
      </c>
    </row>
    <row r="401" spans="7:7" x14ac:dyDescent="0.45">
      <c r="G401" t="s">
        <v>744</v>
      </c>
    </row>
    <row r="402" spans="7:7" x14ac:dyDescent="0.45">
      <c r="G402" t="s">
        <v>441</v>
      </c>
    </row>
    <row r="403" spans="7:7" x14ac:dyDescent="0.45">
      <c r="G403" t="s">
        <v>631</v>
      </c>
    </row>
    <row r="404" spans="7:7" x14ac:dyDescent="0.45">
      <c r="G404">
        <v>81</v>
      </c>
    </row>
    <row r="405" spans="7:7" x14ac:dyDescent="0.45">
      <c r="G405" t="s">
        <v>420</v>
      </c>
    </row>
    <row r="406" spans="7:7" x14ac:dyDescent="0.45">
      <c r="G406" t="s">
        <v>745</v>
      </c>
    </row>
    <row r="407" spans="7:7" x14ac:dyDescent="0.45">
      <c r="G407" t="s">
        <v>444</v>
      </c>
    </row>
    <row r="408" spans="7:7" x14ac:dyDescent="0.45">
      <c r="G408" t="s">
        <v>631</v>
      </c>
    </row>
    <row r="409" spans="7:7" x14ac:dyDescent="0.45">
      <c r="G409">
        <v>82</v>
      </c>
    </row>
    <row r="410" spans="7:7" x14ac:dyDescent="0.45">
      <c r="G410" t="s">
        <v>545</v>
      </c>
    </row>
    <row r="411" spans="7:7" x14ac:dyDescent="0.45">
      <c r="G411" t="s">
        <v>746</v>
      </c>
    </row>
    <row r="412" spans="7:7" x14ac:dyDescent="0.45">
      <c r="G412" t="s">
        <v>329</v>
      </c>
    </row>
    <row r="413" spans="7:7" x14ac:dyDescent="0.45">
      <c r="G413" t="s">
        <v>631</v>
      </c>
    </row>
    <row r="414" spans="7:7" x14ac:dyDescent="0.45">
      <c r="G414">
        <f>83</f>
        <v>83</v>
      </c>
    </row>
    <row r="415" spans="7:7" x14ac:dyDescent="0.45">
      <c r="G415" t="s">
        <v>412</v>
      </c>
    </row>
    <row r="416" spans="7:7" x14ac:dyDescent="0.45">
      <c r="G416" t="s">
        <v>747</v>
      </c>
    </row>
    <row r="417" spans="7:7" x14ac:dyDescent="0.45">
      <c r="G417" t="s">
        <v>298</v>
      </c>
    </row>
    <row r="418" spans="7:7" x14ac:dyDescent="0.45">
      <c r="G418" t="s">
        <v>631</v>
      </c>
    </row>
    <row r="419" spans="7:7" x14ac:dyDescent="0.45">
      <c r="G419">
        <f>83</f>
        <v>83</v>
      </c>
    </row>
    <row r="420" spans="7:7" x14ac:dyDescent="0.45">
      <c r="G420" t="s">
        <v>425</v>
      </c>
    </row>
    <row r="421" spans="7:7" x14ac:dyDescent="0.45">
      <c r="G421" t="s">
        <v>640</v>
      </c>
    </row>
    <row r="422" spans="7:7" x14ac:dyDescent="0.45">
      <c r="G422" t="s">
        <v>298</v>
      </c>
    </row>
    <row r="423" spans="7:7" x14ac:dyDescent="0.45">
      <c r="G423" t="s">
        <v>631</v>
      </c>
    </row>
    <row r="424" spans="7:7" x14ac:dyDescent="0.45">
      <c r="G424">
        <v>85</v>
      </c>
    </row>
    <row r="425" spans="7:7" x14ac:dyDescent="0.45">
      <c r="G425" t="s">
        <v>266</v>
      </c>
    </row>
    <row r="426" spans="7:7" x14ac:dyDescent="0.45">
      <c r="G426" t="s">
        <v>748</v>
      </c>
    </row>
    <row r="427" spans="7:7" x14ac:dyDescent="0.45">
      <c r="G427" t="s">
        <v>464</v>
      </c>
    </row>
    <row r="428" spans="7:7" x14ac:dyDescent="0.45">
      <c r="G428" t="s">
        <v>631</v>
      </c>
    </row>
    <row r="429" spans="7:7" x14ac:dyDescent="0.45">
      <c r="G429">
        <v>86</v>
      </c>
    </row>
    <row r="430" spans="7:7" x14ac:dyDescent="0.45">
      <c r="G430" t="s">
        <v>749</v>
      </c>
    </row>
    <row r="431" spans="7:7" x14ac:dyDescent="0.45">
      <c r="G431" t="s">
        <v>750</v>
      </c>
    </row>
    <row r="432" spans="7:7" x14ac:dyDescent="0.45">
      <c r="G432" t="s">
        <v>358</v>
      </c>
    </row>
    <row r="433" spans="7:7" x14ac:dyDescent="0.45">
      <c r="G433" t="s">
        <v>631</v>
      </c>
    </row>
    <row r="434" spans="7:7" x14ac:dyDescent="0.45">
      <c r="G434">
        <v>87</v>
      </c>
    </row>
    <row r="435" spans="7:7" x14ac:dyDescent="0.45">
      <c r="G435" t="s">
        <v>751</v>
      </c>
    </row>
    <row r="436" spans="7:7" x14ac:dyDescent="0.45">
      <c r="G436" t="s">
        <v>752</v>
      </c>
    </row>
    <row r="437" spans="7:7" x14ac:dyDescent="0.45">
      <c r="G437" t="s">
        <v>753</v>
      </c>
    </row>
    <row r="438" spans="7:7" x14ac:dyDescent="0.45">
      <c r="G438" t="s">
        <v>631</v>
      </c>
    </row>
    <row r="439" spans="7:7" x14ac:dyDescent="0.45">
      <c r="G439">
        <v>88</v>
      </c>
    </row>
    <row r="440" spans="7:7" x14ac:dyDescent="0.45">
      <c r="G440" t="s">
        <v>216</v>
      </c>
    </row>
    <row r="441" spans="7:7" x14ac:dyDescent="0.45">
      <c r="G441" t="s">
        <v>754</v>
      </c>
    </row>
    <row r="442" spans="7:7" x14ac:dyDescent="0.45">
      <c r="G442" t="s">
        <v>755</v>
      </c>
    </row>
    <row r="443" spans="7:7" x14ac:dyDescent="0.45">
      <c r="G443" t="s">
        <v>631</v>
      </c>
    </row>
    <row r="444" spans="7:7" x14ac:dyDescent="0.45">
      <c r="G444">
        <v>89</v>
      </c>
    </row>
    <row r="445" spans="7:7" x14ac:dyDescent="0.45">
      <c r="G445" t="s">
        <v>756</v>
      </c>
    </row>
    <row r="446" spans="7:7" x14ac:dyDescent="0.45">
      <c r="G446" t="s">
        <v>757</v>
      </c>
    </row>
    <row r="447" spans="7:7" x14ac:dyDescent="0.45">
      <c r="G447" t="s">
        <v>758</v>
      </c>
    </row>
    <row r="448" spans="7:7" x14ac:dyDescent="0.45">
      <c r="G448" t="s">
        <v>631</v>
      </c>
    </row>
    <row r="449" spans="7:7" x14ac:dyDescent="0.45">
      <c r="G449">
        <v>90</v>
      </c>
    </row>
    <row r="450" spans="7:7" x14ac:dyDescent="0.45">
      <c r="G450" t="s">
        <v>622</v>
      </c>
    </row>
    <row r="451" spans="7:7" x14ac:dyDescent="0.45">
      <c r="G451" t="s">
        <v>759</v>
      </c>
    </row>
    <row r="452" spans="7:7" x14ac:dyDescent="0.45">
      <c r="G452" t="s">
        <v>760</v>
      </c>
    </row>
    <row r="453" spans="7:7" x14ac:dyDescent="0.45">
      <c r="G453" t="s">
        <v>631</v>
      </c>
    </row>
    <row r="454" spans="7:7" x14ac:dyDescent="0.45">
      <c r="G454">
        <v>91</v>
      </c>
    </row>
    <row r="455" spans="7:7" x14ac:dyDescent="0.45">
      <c r="G455" t="s">
        <v>761</v>
      </c>
    </row>
    <row r="456" spans="7:7" x14ac:dyDescent="0.45">
      <c r="G456" t="s">
        <v>762</v>
      </c>
    </row>
    <row r="457" spans="7:7" x14ac:dyDescent="0.45">
      <c r="G457" t="s">
        <v>252</v>
      </c>
    </row>
    <row r="458" spans="7:7" x14ac:dyDescent="0.45">
      <c r="G458" t="s">
        <v>631</v>
      </c>
    </row>
    <row r="459" spans="7:7" x14ac:dyDescent="0.45">
      <c r="G459">
        <v>92</v>
      </c>
    </row>
    <row r="460" spans="7:7" x14ac:dyDescent="0.45">
      <c r="G460" t="s">
        <v>763</v>
      </c>
    </row>
    <row r="461" spans="7:7" x14ac:dyDescent="0.45">
      <c r="G461" t="s">
        <v>764</v>
      </c>
    </row>
    <row r="462" spans="7:7" x14ac:dyDescent="0.45">
      <c r="G462" t="s">
        <v>207</v>
      </c>
    </row>
    <row r="463" spans="7:7" x14ac:dyDescent="0.45">
      <c r="G463" t="s">
        <v>631</v>
      </c>
    </row>
    <row r="464" spans="7:7" x14ac:dyDescent="0.45">
      <c r="G464">
        <v>93</v>
      </c>
    </row>
    <row r="465" spans="7:7" x14ac:dyDescent="0.45">
      <c r="G465" t="s">
        <v>765</v>
      </c>
    </row>
    <row r="466" spans="7:7" x14ac:dyDescent="0.45">
      <c r="G466" t="s">
        <v>766</v>
      </c>
    </row>
    <row r="467" spans="7:7" x14ac:dyDescent="0.45">
      <c r="G467" t="s">
        <v>767</v>
      </c>
    </row>
    <row r="468" spans="7:7" x14ac:dyDescent="0.45">
      <c r="G468" t="s">
        <v>631</v>
      </c>
    </row>
    <row r="469" spans="7:7" x14ac:dyDescent="0.45">
      <c r="G469">
        <v>94</v>
      </c>
    </row>
    <row r="470" spans="7:7" x14ac:dyDescent="0.45">
      <c r="G470" t="s">
        <v>385</v>
      </c>
    </row>
    <row r="471" spans="7:7" x14ac:dyDescent="0.45">
      <c r="G471" t="s">
        <v>768</v>
      </c>
    </row>
    <row r="472" spans="7:7" x14ac:dyDescent="0.45">
      <c r="G472" t="s">
        <v>769</v>
      </c>
    </row>
    <row r="473" spans="7:7" x14ac:dyDescent="0.45">
      <c r="G473" t="s">
        <v>631</v>
      </c>
    </row>
    <row r="474" spans="7:7" x14ac:dyDescent="0.45">
      <c r="G474">
        <v>95</v>
      </c>
    </row>
    <row r="475" spans="7:7" x14ac:dyDescent="0.45">
      <c r="G475" t="s">
        <v>770</v>
      </c>
    </row>
    <row r="476" spans="7:7" x14ac:dyDescent="0.45">
      <c r="G476" t="s">
        <v>771</v>
      </c>
    </row>
    <row r="477" spans="7:7" x14ac:dyDescent="0.45">
      <c r="G477" t="s">
        <v>772</v>
      </c>
    </row>
    <row r="478" spans="7:7" x14ac:dyDescent="0.45">
      <c r="G478" t="s">
        <v>631</v>
      </c>
    </row>
    <row r="479" spans="7:7" x14ac:dyDescent="0.45">
      <c r="G479">
        <f>96</f>
        <v>96</v>
      </c>
    </row>
    <row r="480" spans="7:7" x14ac:dyDescent="0.45">
      <c r="G480" t="s">
        <v>773</v>
      </c>
    </row>
    <row r="481" spans="7:7" x14ac:dyDescent="0.45">
      <c r="G481" t="s">
        <v>774</v>
      </c>
    </row>
    <row r="482" spans="7:7" x14ac:dyDescent="0.45">
      <c r="G482" t="s">
        <v>775</v>
      </c>
    </row>
    <row r="483" spans="7:7" x14ac:dyDescent="0.45">
      <c r="G483" t="s">
        <v>631</v>
      </c>
    </row>
    <row r="484" spans="7:7" x14ac:dyDescent="0.45">
      <c r="G484">
        <f>96</f>
        <v>96</v>
      </c>
    </row>
    <row r="485" spans="7:7" x14ac:dyDescent="0.45">
      <c r="G485" t="s">
        <v>776</v>
      </c>
    </row>
    <row r="486" spans="7:7" x14ac:dyDescent="0.45">
      <c r="G486" t="s">
        <v>777</v>
      </c>
    </row>
    <row r="487" spans="7:7" x14ac:dyDescent="0.45">
      <c r="G487" t="s">
        <v>775</v>
      </c>
    </row>
    <row r="488" spans="7:7" x14ac:dyDescent="0.45">
      <c r="G488" t="s">
        <v>631</v>
      </c>
    </row>
    <row r="489" spans="7:7" x14ac:dyDescent="0.45">
      <c r="G489">
        <v>98</v>
      </c>
    </row>
    <row r="490" spans="7:7" x14ac:dyDescent="0.45">
      <c r="G490" t="s">
        <v>778</v>
      </c>
    </row>
    <row r="491" spans="7:7" x14ac:dyDescent="0.45">
      <c r="G491" t="s">
        <v>779</v>
      </c>
    </row>
    <row r="492" spans="7:7" x14ac:dyDescent="0.45">
      <c r="G492" t="s">
        <v>71</v>
      </c>
    </row>
    <row r="493" spans="7:7" x14ac:dyDescent="0.45">
      <c r="G493" t="s">
        <v>631</v>
      </c>
    </row>
    <row r="494" spans="7:7" x14ac:dyDescent="0.45">
      <c r="G494">
        <v>99</v>
      </c>
    </row>
    <row r="495" spans="7:7" x14ac:dyDescent="0.45">
      <c r="G495" t="s">
        <v>780</v>
      </c>
    </row>
    <row r="496" spans="7:7" x14ac:dyDescent="0.45">
      <c r="G496" t="s">
        <v>781</v>
      </c>
    </row>
    <row r="497" spans="7:7" x14ac:dyDescent="0.45">
      <c r="G497" t="s">
        <v>349</v>
      </c>
    </row>
    <row r="498" spans="7:7" x14ac:dyDescent="0.45">
      <c r="G498" t="s">
        <v>631</v>
      </c>
    </row>
    <row r="499" spans="7:7" x14ac:dyDescent="0.45">
      <c r="G499">
        <v>100</v>
      </c>
    </row>
    <row r="500" spans="7:7" x14ac:dyDescent="0.45">
      <c r="G500" t="s">
        <v>782</v>
      </c>
    </row>
    <row r="501" spans="7:7" x14ac:dyDescent="0.45">
      <c r="G501" t="s">
        <v>783</v>
      </c>
    </row>
    <row r="502" spans="7:7" x14ac:dyDescent="0.45">
      <c r="G502" t="s">
        <v>126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C3B39-E777-41D3-8640-98500148CFC4}">
  <dimension ref="A1:F101"/>
  <sheetViews>
    <sheetView topLeftCell="A55" workbookViewId="0">
      <selection activeCell="A2" sqref="A2:A101"/>
    </sheetView>
  </sheetViews>
  <sheetFormatPr defaultRowHeight="14.25" x14ac:dyDescent="0.45"/>
  <cols>
    <col min="2" max="2" width="7.1328125" customWidth="1"/>
    <col min="3" max="3" width="35.9296875" customWidth="1"/>
    <col min="4" max="4" width="13.59765625" customWidth="1"/>
    <col min="5" max="5" width="16.1328125" customWidth="1"/>
    <col min="6" max="6" width="16.3984375" customWidth="1"/>
  </cols>
  <sheetData>
    <row r="1" spans="1:6" x14ac:dyDescent="0.45">
      <c r="A1" t="s">
        <v>851</v>
      </c>
      <c r="B1" t="s">
        <v>788</v>
      </c>
      <c r="C1" t="s">
        <v>628</v>
      </c>
      <c r="D1" t="s">
        <v>789</v>
      </c>
      <c r="E1" t="s">
        <v>790</v>
      </c>
      <c r="F1" t="s">
        <v>791</v>
      </c>
    </row>
    <row r="2" spans="1:6" x14ac:dyDescent="0.45">
      <c r="A2">
        <v>1</v>
      </c>
      <c r="B2">
        <v>1</v>
      </c>
      <c r="C2" t="s">
        <v>8</v>
      </c>
      <c r="D2">
        <v>1</v>
      </c>
      <c r="E2">
        <v>1</v>
      </c>
      <c r="F2">
        <v>1</v>
      </c>
    </row>
    <row r="3" spans="1:6" x14ac:dyDescent="0.45">
      <c r="A3">
        <v>2</v>
      </c>
      <c r="B3">
        <v>2</v>
      </c>
      <c r="C3" t="s">
        <v>21</v>
      </c>
      <c r="D3">
        <v>3</v>
      </c>
      <c r="E3">
        <v>2</v>
      </c>
      <c r="F3">
        <v>4</v>
      </c>
    </row>
    <row r="4" spans="1:6" x14ac:dyDescent="0.45">
      <c r="A4">
        <v>3</v>
      </c>
      <c r="B4">
        <v>3</v>
      </c>
      <c r="C4" t="s">
        <v>27</v>
      </c>
      <c r="D4">
        <v>1</v>
      </c>
      <c r="E4">
        <v>3</v>
      </c>
      <c r="F4">
        <v>15</v>
      </c>
    </row>
    <row r="5" spans="1:6" x14ac:dyDescent="0.45">
      <c r="A5">
        <v>4</v>
      </c>
      <c r="B5">
        <v>4</v>
      </c>
      <c r="C5" t="s">
        <v>792</v>
      </c>
      <c r="D5">
        <v>4</v>
      </c>
      <c r="E5">
        <v>4</v>
      </c>
      <c r="F5">
        <v>27</v>
      </c>
    </row>
    <row r="6" spans="1:6" x14ac:dyDescent="0.45">
      <c r="A6">
        <v>5</v>
      </c>
      <c r="B6">
        <v>5</v>
      </c>
      <c r="C6" t="s">
        <v>0</v>
      </c>
      <c r="D6">
        <v>15</v>
      </c>
      <c r="E6">
        <v>5</v>
      </c>
      <c r="F6">
        <v>5</v>
      </c>
    </row>
    <row r="7" spans="1:6" x14ac:dyDescent="0.45">
      <c r="A7">
        <v>6</v>
      </c>
      <c r="B7">
        <v>6</v>
      </c>
      <c r="C7" t="s">
        <v>793</v>
      </c>
      <c r="D7">
        <v>8</v>
      </c>
      <c r="E7">
        <v>10</v>
      </c>
      <c r="F7">
        <v>8</v>
      </c>
    </row>
    <row r="8" spans="1:6" x14ac:dyDescent="0.45">
      <c r="A8">
        <v>7</v>
      </c>
      <c r="B8">
        <v>7</v>
      </c>
      <c r="C8" t="s">
        <v>157</v>
      </c>
      <c r="D8">
        <v>6</v>
      </c>
      <c r="E8">
        <v>80</v>
      </c>
      <c r="F8">
        <v>10</v>
      </c>
    </row>
    <row r="9" spans="1:6" x14ac:dyDescent="0.45">
      <c r="A9">
        <v>8</v>
      </c>
      <c r="B9">
        <v>7</v>
      </c>
      <c r="C9" t="s">
        <v>118</v>
      </c>
      <c r="D9">
        <v>5</v>
      </c>
      <c r="E9">
        <v>15</v>
      </c>
      <c r="F9">
        <v>23</v>
      </c>
    </row>
    <row r="10" spans="1:6" x14ac:dyDescent="0.45">
      <c r="A10">
        <v>9</v>
      </c>
      <c r="B10">
        <v>9</v>
      </c>
      <c r="C10" t="s">
        <v>794</v>
      </c>
      <c r="D10">
        <v>9</v>
      </c>
      <c r="E10">
        <v>7</v>
      </c>
      <c r="F10">
        <v>18</v>
      </c>
    </row>
    <row r="11" spans="1:6" x14ac:dyDescent="0.45">
      <c r="A11">
        <v>10</v>
      </c>
      <c r="B11">
        <v>10</v>
      </c>
      <c r="C11" t="s">
        <v>83</v>
      </c>
      <c r="D11">
        <v>16</v>
      </c>
      <c r="E11">
        <v>35</v>
      </c>
      <c r="F11">
        <v>7</v>
      </c>
    </row>
    <row r="12" spans="1:6" x14ac:dyDescent="0.45">
      <c r="A12">
        <v>11</v>
      </c>
      <c r="B12">
        <v>11</v>
      </c>
      <c r="C12" t="s">
        <v>79</v>
      </c>
      <c r="D12">
        <v>14</v>
      </c>
      <c r="E12">
        <v>12</v>
      </c>
      <c r="F12">
        <v>19</v>
      </c>
    </row>
    <row r="13" spans="1:6" x14ac:dyDescent="0.45">
      <c r="A13">
        <v>12</v>
      </c>
      <c r="B13">
        <v>12</v>
      </c>
      <c r="C13" t="s">
        <v>15</v>
      </c>
      <c r="D13">
        <v>20</v>
      </c>
      <c r="E13">
        <v>6</v>
      </c>
      <c r="F13">
        <v>14</v>
      </c>
    </row>
    <row r="14" spans="1:6" x14ac:dyDescent="0.45">
      <c r="A14">
        <v>13</v>
      </c>
      <c r="B14">
        <v>13</v>
      </c>
      <c r="C14" t="s">
        <v>795</v>
      </c>
      <c r="D14">
        <v>21</v>
      </c>
      <c r="E14">
        <v>8</v>
      </c>
      <c r="F14">
        <v>20</v>
      </c>
    </row>
    <row r="15" spans="1:6" x14ac:dyDescent="0.45">
      <c r="A15">
        <v>14</v>
      </c>
      <c r="B15">
        <v>14</v>
      </c>
      <c r="C15" t="s">
        <v>48</v>
      </c>
      <c r="D15">
        <v>11</v>
      </c>
      <c r="E15">
        <v>13</v>
      </c>
      <c r="F15">
        <v>29</v>
      </c>
    </row>
    <row r="16" spans="1:6" x14ac:dyDescent="0.45">
      <c r="A16">
        <v>15</v>
      </c>
      <c r="B16">
        <v>15</v>
      </c>
      <c r="C16" t="s">
        <v>796</v>
      </c>
      <c r="D16">
        <v>44</v>
      </c>
      <c r="E16">
        <v>11</v>
      </c>
      <c r="F16">
        <v>6</v>
      </c>
    </row>
    <row r="17" spans="1:6" x14ac:dyDescent="0.45">
      <c r="A17">
        <v>16</v>
      </c>
      <c r="B17">
        <v>16</v>
      </c>
      <c r="C17" t="s">
        <v>102</v>
      </c>
      <c r="D17">
        <v>35</v>
      </c>
      <c r="E17">
        <v>24</v>
      </c>
      <c r="F17">
        <v>13</v>
      </c>
    </row>
    <row r="18" spans="1:6" x14ac:dyDescent="0.45">
      <c r="A18">
        <v>17</v>
      </c>
      <c r="B18">
        <v>17</v>
      </c>
      <c r="C18" t="s">
        <v>797</v>
      </c>
      <c r="D18">
        <v>27</v>
      </c>
      <c r="E18">
        <v>9</v>
      </c>
      <c r="F18">
        <v>24</v>
      </c>
    </row>
    <row r="19" spans="1:6" x14ac:dyDescent="0.45">
      <c r="A19">
        <v>18</v>
      </c>
      <c r="B19">
        <v>18</v>
      </c>
      <c r="C19" t="s">
        <v>798</v>
      </c>
      <c r="D19">
        <v>12</v>
      </c>
      <c r="E19">
        <v>18</v>
      </c>
      <c r="F19">
        <v>52</v>
      </c>
    </row>
    <row r="20" spans="1:6" x14ac:dyDescent="0.45">
      <c r="A20">
        <v>19</v>
      </c>
      <c r="B20">
        <v>19</v>
      </c>
      <c r="C20" t="s">
        <v>765</v>
      </c>
      <c r="D20">
        <v>10</v>
      </c>
      <c r="E20">
        <v>31</v>
      </c>
      <c r="F20">
        <v>58</v>
      </c>
    </row>
    <row r="21" spans="1:6" x14ac:dyDescent="0.45">
      <c r="A21">
        <v>20</v>
      </c>
      <c r="B21">
        <v>20</v>
      </c>
      <c r="C21" t="s">
        <v>799</v>
      </c>
      <c r="D21">
        <v>13</v>
      </c>
      <c r="E21">
        <v>22</v>
      </c>
      <c r="F21">
        <v>54</v>
      </c>
    </row>
    <row r="22" spans="1:6" x14ac:dyDescent="0.45">
      <c r="A22">
        <v>21</v>
      </c>
      <c r="B22">
        <v>21</v>
      </c>
      <c r="C22" t="s">
        <v>145</v>
      </c>
      <c r="D22">
        <v>30</v>
      </c>
      <c r="E22">
        <v>14</v>
      </c>
      <c r="F22">
        <v>33</v>
      </c>
    </row>
    <row r="23" spans="1:6" x14ac:dyDescent="0.45">
      <c r="A23">
        <v>22</v>
      </c>
      <c r="B23">
        <v>22</v>
      </c>
      <c r="C23" t="s">
        <v>151</v>
      </c>
      <c r="D23">
        <v>29</v>
      </c>
      <c r="E23">
        <v>19</v>
      </c>
      <c r="F23">
        <v>37</v>
      </c>
    </row>
    <row r="24" spans="1:6" x14ac:dyDescent="0.45">
      <c r="A24">
        <v>23</v>
      </c>
      <c r="B24">
        <v>23</v>
      </c>
      <c r="C24" t="s">
        <v>139</v>
      </c>
      <c r="D24">
        <v>26</v>
      </c>
      <c r="E24">
        <v>32</v>
      </c>
      <c r="F24">
        <v>44</v>
      </c>
    </row>
    <row r="25" spans="1:6" x14ac:dyDescent="0.45">
      <c r="A25">
        <v>24</v>
      </c>
      <c r="B25">
        <v>24</v>
      </c>
      <c r="C25" t="s">
        <v>800</v>
      </c>
      <c r="D25">
        <v>108</v>
      </c>
      <c r="E25">
        <v>79</v>
      </c>
      <c r="F25">
        <v>3</v>
      </c>
    </row>
    <row r="26" spans="1:6" x14ac:dyDescent="0.45">
      <c r="A26">
        <v>25</v>
      </c>
      <c r="B26">
        <v>25</v>
      </c>
      <c r="C26" t="s">
        <v>801</v>
      </c>
      <c r="D26">
        <v>18</v>
      </c>
      <c r="E26">
        <v>29</v>
      </c>
      <c r="F26">
        <v>72</v>
      </c>
    </row>
    <row r="27" spans="1:6" x14ac:dyDescent="0.45">
      <c r="A27">
        <v>26</v>
      </c>
      <c r="B27">
        <v>26</v>
      </c>
      <c r="C27" t="s">
        <v>36</v>
      </c>
      <c r="D27">
        <v>7</v>
      </c>
      <c r="E27">
        <v>23</v>
      </c>
      <c r="F27">
        <v>121</v>
      </c>
    </row>
    <row r="28" spans="1:6" x14ac:dyDescent="0.45">
      <c r="A28">
        <v>27</v>
      </c>
      <c r="B28">
        <v>27</v>
      </c>
      <c r="C28" t="s">
        <v>225</v>
      </c>
      <c r="D28">
        <v>39</v>
      </c>
      <c r="E28">
        <v>27</v>
      </c>
      <c r="F28">
        <v>39</v>
      </c>
    </row>
    <row r="29" spans="1:6" x14ac:dyDescent="0.45">
      <c r="A29">
        <v>28</v>
      </c>
      <c r="B29">
        <v>28</v>
      </c>
      <c r="C29" t="s">
        <v>802</v>
      </c>
      <c r="D29">
        <v>31</v>
      </c>
      <c r="E29">
        <v>21</v>
      </c>
      <c r="F29">
        <v>56</v>
      </c>
    </row>
    <row r="30" spans="1:6" x14ac:dyDescent="0.45">
      <c r="A30">
        <v>29</v>
      </c>
      <c r="B30">
        <v>29</v>
      </c>
      <c r="C30" t="s">
        <v>501</v>
      </c>
      <c r="D30">
        <v>22</v>
      </c>
      <c r="E30">
        <v>26</v>
      </c>
      <c r="F30">
        <v>90</v>
      </c>
    </row>
    <row r="31" spans="1:6" x14ac:dyDescent="0.45">
      <c r="A31">
        <v>30</v>
      </c>
      <c r="B31">
        <v>30</v>
      </c>
      <c r="C31" t="s">
        <v>803</v>
      </c>
      <c r="D31">
        <v>47</v>
      </c>
      <c r="E31">
        <v>40</v>
      </c>
      <c r="F31">
        <v>34</v>
      </c>
    </row>
    <row r="32" spans="1:6" x14ac:dyDescent="0.45">
      <c r="A32">
        <v>31</v>
      </c>
      <c r="B32">
        <v>31</v>
      </c>
      <c r="C32" t="s">
        <v>347</v>
      </c>
      <c r="D32">
        <v>24</v>
      </c>
      <c r="E32">
        <v>20</v>
      </c>
      <c r="F32">
        <v>81</v>
      </c>
    </row>
    <row r="33" spans="1:6" x14ac:dyDescent="0.45">
      <c r="A33">
        <v>32</v>
      </c>
      <c r="B33">
        <v>32</v>
      </c>
      <c r="C33" t="s">
        <v>804</v>
      </c>
      <c r="D33">
        <v>73</v>
      </c>
      <c r="E33">
        <v>150</v>
      </c>
      <c r="F33">
        <v>12</v>
      </c>
    </row>
    <row r="34" spans="1:6" x14ac:dyDescent="0.45">
      <c r="A34">
        <v>33</v>
      </c>
      <c r="B34">
        <v>33</v>
      </c>
      <c r="C34" t="s">
        <v>805</v>
      </c>
      <c r="D34">
        <v>25</v>
      </c>
      <c r="E34">
        <v>42</v>
      </c>
      <c r="F34">
        <v>75</v>
      </c>
    </row>
    <row r="35" spans="1:6" x14ac:dyDescent="0.45">
      <c r="A35">
        <v>34</v>
      </c>
      <c r="B35">
        <v>34</v>
      </c>
      <c r="C35" t="s">
        <v>619</v>
      </c>
      <c r="D35">
        <v>34</v>
      </c>
      <c r="E35">
        <v>33</v>
      </c>
      <c r="F35">
        <v>66</v>
      </c>
    </row>
    <row r="36" spans="1:6" x14ac:dyDescent="0.45">
      <c r="A36">
        <v>35</v>
      </c>
      <c r="B36">
        <v>34</v>
      </c>
      <c r="C36" t="s">
        <v>54</v>
      </c>
      <c r="D36">
        <v>100</v>
      </c>
      <c r="E36">
        <v>16</v>
      </c>
      <c r="F36">
        <v>16</v>
      </c>
    </row>
    <row r="37" spans="1:6" x14ac:dyDescent="0.45">
      <c r="A37">
        <v>36</v>
      </c>
      <c r="B37">
        <v>36</v>
      </c>
      <c r="C37" t="s">
        <v>806</v>
      </c>
      <c r="D37">
        <v>42</v>
      </c>
      <c r="E37">
        <v>68</v>
      </c>
      <c r="F37">
        <v>46</v>
      </c>
    </row>
    <row r="38" spans="1:6" x14ac:dyDescent="0.45">
      <c r="A38">
        <v>37</v>
      </c>
      <c r="B38">
        <v>37</v>
      </c>
      <c r="C38" t="s">
        <v>807</v>
      </c>
      <c r="D38">
        <v>37</v>
      </c>
      <c r="E38">
        <v>30</v>
      </c>
      <c r="F38">
        <v>67</v>
      </c>
    </row>
    <row r="39" spans="1:6" x14ac:dyDescent="0.45">
      <c r="A39">
        <v>38</v>
      </c>
      <c r="B39">
        <v>38</v>
      </c>
      <c r="C39" t="s">
        <v>808</v>
      </c>
      <c r="D39">
        <v>17</v>
      </c>
      <c r="E39">
        <v>25</v>
      </c>
      <c r="F39">
        <v>128</v>
      </c>
    </row>
    <row r="40" spans="1:6" x14ac:dyDescent="0.45">
      <c r="A40">
        <v>39</v>
      </c>
      <c r="B40">
        <v>39</v>
      </c>
      <c r="C40" t="s">
        <v>809</v>
      </c>
      <c r="D40">
        <v>81</v>
      </c>
      <c r="E40">
        <v>17</v>
      </c>
      <c r="F40">
        <v>32</v>
      </c>
    </row>
    <row r="41" spans="1:6" x14ac:dyDescent="0.45">
      <c r="A41">
        <v>40</v>
      </c>
      <c r="B41">
        <v>40</v>
      </c>
      <c r="C41" t="s">
        <v>194</v>
      </c>
      <c r="D41">
        <v>103</v>
      </c>
      <c r="E41">
        <v>53</v>
      </c>
      <c r="F41">
        <v>21</v>
      </c>
    </row>
    <row r="42" spans="1:6" x14ac:dyDescent="0.45">
      <c r="A42">
        <v>41</v>
      </c>
      <c r="B42">
        <v>41</v>
      </c>
      <c r="C42" t="s">
        <v>810</v>
      </c>
      <c r="D42">
        <v>72</v>
      </c>
      <c r="E42">
        <v>94</v>
      </c>
      <c r="F42">
        <v>30</v>
      </c>
    </row>
    <row r="43" spans="1:6" x14ac:dyDescent="0.45">
      <c r="A43">
        <v>42</v>
      </c>
      <c r="B43">
        <v>42</v>
      </c>
      <c r="C43" t="s">
        <v>811</v>
      </c>
      <c r="D43">
        <v>46</v>
      </c>
      <c r="E43">
        <v>28</v>
      </c>
      <c r="F43">
        <v>73</v>
      </c>
    </row>
    <row r="44" spans="1:6" x14ac:dyDescent="0.45">
      <c r="A44">
        <v>43</v>
      </c>
      <c r="B44">
        <v>43</v>
      </c>
      <c r="C44" t="s">
        <v>812</v>
      </c>
      <c r="D44">
        <v>28</v>
      </c>
      <c r="E44">
        <v>38</v>
      </c>
      <c r="F44">
        <v>110</v>
      </c>
    </row>
    <row r="45" spans="1:6" x14ac:dyDescent="0.45">
      <c r="A45">
        <v>44</v>
      </c>
      <c r="B45">
        <v>44</v>
      </c>
      <c r="C45" t="s">
        <v>169</v>
      </c>
      <c r="D45">
        <v>57</v>
      </c>
      <c r="E45">
        <v>58</v>
      </c>
      <c r="F45">
        <v>50</v>
      </c>
    </row>
    <row r="46" spans="1:6" x14ac:dyDescent="0.45">
      <c r="A46">
        <v>45</v>
      </c>
      <c r="B46">
        <v>45</v>
      </c>
      <c r="C46" t="s">
        <v>813</v>
      </c>
      <c r="D46">
        <v>23</v>
      </c>
      <c r="E46">
        <v>71</v>
      </c>
      <c r="F46">
        <v>119</v>
      </c>
    </row>
    <row r="47" spans="1:6" x14ac:dyDescent="0.45">
      <c r="A47">
        <v>46</v>
      </c>
      <c r="B47">
        <v>46</v>
      </c>
      <c r="C47" t="s">
        <v>607</v>
      </c>
      <c r="D47">
        <v>48</v>
      </c>
      <c r="E47">
        <v>50</v>
      </c>
      <c r="F47">
        <v>70</v>
      </c>
    </row>
    <row r="48" spans="1:6" x14ac:dyDescent="0.45">
      <c r="A48">
        <v>47</v>
      </c>
      <c r="B48">
        <v>47</v>
      </c>
      <c r="C48" t="s">
        <v>110</v>
      </c>
      <c r="D48">
        <v>119</v>
      </c>
      <c r="E48">
        <v>60</v>
      </c>
      <c r="F48">
        <v>22</v>
      </c>
    </row>
    <row r="49" spans="1:6" x14ac:dyDescent="0.45">
      <c r="A49">
        <v>48</v>
      </c>
      <c r="B49">
        <v>48</v>
      </c>
      <c r="C49" t="s">
        <v>814</v>
      </c>
      <c r="D49">
        <v>33</v>
      </c>
      <c r="E49">
        <v>67</v>
      </c>
      <c r="F49">
        <v>118</v>
      </c>
    </row>
    <row r="50" spans="1:6" x14ac:dyDescent="0.45">
      <c r="A50">
        <v>49</v>
      </c>
      <c r="B50">
        <v>48</v>
      </c>
      <c r="C50" t="s">
        <v>162</v>
      </c>
      <c r="D50">
        <v>19</v>
      </c>
      <c r="E50">
        <v>41</v>
      </c>
      <c r="F50">
        <v>183</v>
      </c>
    </row>
    <row r="51" spans="1:6" x14ac:dyDescent="0.45">
      <c r="A51">
        <v>50</v>
      </c>
      <c r="B51">
        <v>50</v>
      </c>
      <c r="C51" t="s">
        <v>572</v>
      </c>
      <c r="D51">
        <v>149</v>
      </c>
      <c r="E51">
        <v>47</v>
      </c>
      <c r="F51">
        <v>17</v>
      </c>
    </row>
    <row r="52" spans="1:6" x14ac:dyDescent="0.45">
      <c r="A52">
        <v>51</v>
      </c>
      <c r="B52">
        <v>51</v>
      </c>
      <c r="C52" t="s">
        <v>815</v>
      </c>
      <c r="D52">
        <v>38</v>
      </c>
      <c r="E52">
        <v>51</v>
      </c>
      <c r="F52">
        <v>112</v>
      </c>
    </row>
    <row r="53" spans="1:6" x14ac:dyDescent="0.45">
      <c r="A53">
        <v>52</v>
      </c>
      <c r="B53">
        <v>52</v>
      </c>
      <c r="C53" t="s">
        <v>816</v>
      </c>
      <c r="D53">
        <v>110</v>
      </c>
      <c r="E53">
        <v>36</v>
      </c>
      <c r="F53">
        <v>31</v>
      </c>
    </row>
    <row r="54" spans="1:6" x14ac:dyDescent="0.45">
      <c r="A54">
        <v>53</v>
      </c>
      <c r="B54">
        <v>53</v>
      </c>
      <c r="C54" t="s">
        <v>817</v>
      </c>
      <c r="D54">
        <v>45</v>
      </c>
      <c r="E54">
        <v>55</v>
      </c>
      <c r="F54">
        <v>104</v>
      </c>
    </row>
    <row r="55" spans="1:6" x14ac:dyDescent="0.45">
      <c r="A55">
        <v>54</v>
      </c>
      <c r="B55">
        <v>54</v>
      </c>
      <c r="C55" t="s">
        <v>818</v>
      </c>
      <c r="D55">
        <v>32</v>
      </c>
      <c r="E55">
        <v>56</v>
      </c>
      <c r="F55">
        <v>136</v>
      </c>
    </row>
    <row r="56" spans="1:6" x14ac:dyDescent="0.45">
      <c r="A56">
        <v>55</v>
      </c>
      <c r="B56">
        <v>55</v>
      </c>
      <c r="C56" t="s">
        <v>625</v>
      </c>
      <c r="D56">
        <v>36</v>
      </c>
      <c r="E56">
        <v>37</v>
      </c>
      <c r="F56">
        <v>137</v>
      </c>
    </row>
    <row r="57" spans="1:6" x14ac:dyDescent="0.45">
      <c r="A57">
        <v>56</v>
      </c>
      <c r="B57">
        <v>56</v>
      </c>
      <c r="C57" t="s">
        <v>372</v>
      </c>
      <c r="D57">
        <v>43</v>
      </c>
      <c r="E57">
        <v>44</v>
      </c>
      <c r="F57">
        <v>113</v>
      </c>
    </row>
    <row r="58" spans="1:6" x14ac:dyDescent="0.45">
      <c r="A58">
        <v>57</v>
      </c>
      <c r="B58">
        <v>57</v>
      </c>
      <c r="C58" t="s">
        <v>245</v>
      </c>
      <c r="D58">
        <v>146</v>
      </c>
      <c r="E58">
        <v>39</v>
      </c>
      <c r="F58">
        <v>28</v>
      </c>
    </row>
    <row r="59" spans="1:6" x14ac:dyDescent="0.45">
      <c r="A59">
        <v>58</v>
      </c>
      <c r="B59">
        <v>58</v>
      </c>
      <c r="C59" t="s">
        <v>471</v>
      </c>
      <c r="D59">
        <v>61</v>
      </c>
      <c r="E59">
        <v>52</v>
      </c>
      <c r="F59">
        <v>93</v>
      </c>
    </row>
    <row r="60" spans="1:6" x14ac:dyDescent="0.45">
      <c r="A60">
        <v>59</v>
      </c>
      <c r="B60">
        <v>59</v>
      </c>
      <c r="C60" t="s">
        <v>819</v>
      </c>
      <c r="D60">
        <v>58</v>
      </c>
      <c r="E60">
        <v>43</v>
      </c>
      <c r="F60">
        <v>111</v>
      </c>
    </row>
    <row r="61" spans="1:6" x14ac:dyDescent="0.45">
      <c r="A61">
        <v>60</v>
      </c>
      <c r="B61">
        <v>60</v>
      </c>
      <c r="C61" t="s">
        <v>253</v>
      </c>
      <c r="D61">
        <v>71</v>
      </c>
      <c r="E61">
        <v>46</v>
      </c>
      <c r="F61">
        <v>91</v>
      </c>
    </row>
    <row r="62" spans="1:6" x14ac:dyDescent="0.45">
      <c r="A62">
        <v>61</v>
      </c>
      <c r="B62">
        <v>61</v>
      </c>
      <c r="C62" t="s">
        <v>296</v>
      </c>
      <c r="D62">
        <v>105</v>
      </c>
      <c r="E62">
        <v>45</v>
      </c>
      <c r="F62">
        <v>65</v>
      </c>
    </row>
    <row r="63" spans="1:6" x14ac:dyDescent="0.45">
      <c r="A63">
        <v>62</v>
      </c>
      <c r="B63">
        <v>62</v>
      </c>
      <c r="C63" t="s">
        <v>216</v>
      </c>
      <c r="D63">
        <v>65</v>
      </c>
      <c r="E63">
        <v>57</v>
      </c>
      <c r="F63">
        <v>100</v>
      </c>
    </row>
    <row r="64" spans="1:6" x14ac:dyDescent="0.45">
      <c r="A64">
        <v>63</v>
      </c>
      <c r="B64">
        <v>63</v>
      </c>
      <c r="C64" t="s">
        <v>820</v>
      </c>
      <c r="D64">
        <v>49</v>
      </c>
      <c r="E64">
        <v>69</v>
      </c>
      <c r="F64">
        <v>135</v>
      </c>
    </row>
    <row r="65" spans="1:6" x14ac:dyDescent="0.45">
      <c r="A65">
        <v>64</v>
      </c>
      <c r="B65">
        <v>64</v>
      </c>
      <c r="C65" t="s">
        <v>821</v>
      </c>
      <c r="D65">
        <v>40</v>
      </c>
      <c r="E65">
        <v>59</v>
      </c>
      <c r="F65">
        <v>172</v>
      </c>
    </row>
    <row r="66" spans="1:6" x14ac:dyDescent="0.45">
      <c r="A66">
        <v>65</v>
      </c>
      <c r="B66">
        <v>65</v>
      </c>
      <c r="C66" t="s">
        <v>822</v>
      </c>
      <c r="D66">
        <v>130</v>
      </c>
      <c r="E66">
        <v>83</v>
      </c>
      <c r="F66">
        <v>40</v>
      </c>
    </row>
    <row r="67" spans="1:6" x14ac:dyDescent="0.45">
      <c r="A67">
        <v>66</v>
      </c>
      <c r="B67">
        <v>66</v>
      </c>
      <c r="C67" t="s">
        <v>823</v>
      </c>
      <c r="D67">
        <v>96</v>
      </c>
      <c r="E67">
        <v>215</v>
      </c>
      <c r="F67">
        <v>55</v>
      </c>
    </row>
    <row r="68" spans="1:6" x14ac:dyDescent="0.45">
      <c r="A68">
        <v>67</v>
      </c>
      <c r="B68">
        <v>67</v>
      </c>
      <c r="C68" t="s">
        <v>558</v>
      </c>
      <c r="D68">
        <v>150</v>
      </c>
      <c r="E68">
        <v>34</v>
      </c>
      <c r="F68">
        <v>42</v>
      </c>
    </row>
    <row r="69" spans="1:6" x14ac:dyDescent="0.45">
      <c r="A69">
        <v>68</v>
      </c>
      <c r="B69">
        <v>68</v>
      </c>
      <c r="C69" t="s">
        <v>824</v>
      </c>
      <c r="D69">
        <v>255</v>
      </c>
      <c r="E69">
        <v>159</v>
      </c>
      <c r="F69">
        <v>11</v>
      </c>
    </row>
    <row r="70" spans="1:6" x14ac:dyDescent="0.45">
      <c r="A70">
        <v>69</v>
      </c>
      <c r="B70">
        <v>69</v>
      </c>
      <c r="C70" t="s">
        <v>825</v>
      </c>
      <c r="D70">
        <v>247</v>
      </c>
      <c r="E70">
        <v>214</v>
      </c>
      <c r="F70">
        <v>9</v>
      </c>
    </row>
    <row r="71" spans="1:6" x14ac:dyDescent="0.45">
      <c r="A71">
        <v>70</v>
      </c>
      <c r="B71">
        <v>69</v>
      </c>
      <c r="C71" t="s">
        <v>826</v>
      </c>
      <c r="D71">
        <v>126</v>
      </c>
      <c r="E71">
        <v>64</v>
      </c>
      <c r="F71">
        <v>63</v>
      </c>
    </row>
    <row r="72" spans="1:6" x14ac:dyDescent="0.45">
      <c r="A72">
        <v>71</v>
      </c>
      <c r="B72">
        <v>71</v>
      </c>
      <c r="C72" t="s">
        <v>617</v>
      </c>
      <c r="D72">
        <v>99</v>
      </c>
      <c r="E72">
        <v>62</v>
      </c>
      <c r="F72">
        <v>87</v>
      </c>
    </row>
    <row r="73" spans="1:6" x14ac:dyDescent="0.45">
      <c r="A73">
        <v>72</v>
      </c>
      <c r="B73">
        <v>72</v>
      </c>
      <c r="C73" t="s">
        <v>416</v>
      </c>
      <c r="D73">
        <v>106</v>
      </c>
      <c r="E73">
        <v>48</v>
      </c>
      <c r="F73">
        <v>88</v>
      </c>
    </row>
    <row r="74" spans="1:6" x14ac:dyDescent="0.45">
      <c r="A74">
        <v>73</v>
      </c>
      <c r="B74">
        <v>73</v>
      </c>
      <c r="C74" t="s">
        <v>827</v>
      </c>
      <c r="D74">
        <v>141</v>
      </c>
      <c r="E74">
        <v>82</v>
      </c>
      <c r="F74">
        <v>51</v>
      </c>
    </row>
    <row r="75" spans="1:6" x14ac:dyDescent="0.45">
      <c r="A75">
        <v>74</v>
      </c>
      <c r="B75">
        <v>74</v>
      </c>
      <c r="C75" t="s">
        <v>828</v>
      </c>
      <c r="D75">
        <v>177</v>
      </c>
      <c r="E75">
        <v>72</v>
      </c>
      <c r="F75">
        <v>45</v>
      </c>
    </row>
    <row r="76" spans="1:6" x14ac:dyDescent="0.45">
      <c r="A76">
        <v>75</v>
      </c>
      <c r="B76">
        <v>75</v>
      </c>
      <c r="C76" t="s">
        <v>179</v>
      </c>
      <c r="D76">
        <v>117</v>
      </c>
      <c r="E76">
        <v>77</v>
      </c>
      <c r="F76">
        <v>89</v>
      </c>
    </row>
    <row r="77" spans="1:6" x14ac:dyDescent="0.45">
      <c r="A77">
        <v>76</v>
      </c>
      <c r="B77">
        <v>76</v>
      </c>
      <c r="C77" t="s">
        <v>829</v>
      </c>
      <c r="D77">
        <v>54</v>
      </c>
      <c r="E77">
        <v>49</v>
      </c>
      <c r="F77">
        <v>202</v>
      </c>
    </row>
    <row r="78" spans="1:6" x14ac:dyDescent="0.45">
      <c r="A78">
        <v>77</v>
      </c>
      <c r="B78">
        <v>77</v>
      </c>
      <c r="C78" t="s">
        <v>830</v>
      </c>
      <c r="D78">
        <v>52</v>
      </c>
      <c r="E78">
        <v>104</v>
      </c>
      <c r="F78">
        <v>198</v>
      </c>
    </row>
    <row r="79" spans="1:6" x14ac:dyDescent="0.45">
      <c r="A79">
        <v>78</v>
      </c>
      <c r="B79">
        <v>78</v>
      </c>
      <c r="C79" t="s">
        <v>831</v>
      </c>
      <c r="D79">
        <v>191</v>
      </c>
      <c r="E79">
        <v>65</v>
      </c>
      <c r="F79">
        <v>57</v>
      </c>
    </row>
    <row r="80" spans="1:6" x14ac:dyDescent="0.45">
      <c r="A80">
        <v>79</v>
      </c>
      <c r="B80">
        <v>79</v>
      </c>
      <c r="C80" t="s">
        <v>337</v>
      </c>
      <c r="D80">
        <v>84</v>
      </c>
      <c r="E80">
        <v>66</v>
      </c>
      <c r="F80">
        <v>168</v>
      </c>
    </row>
    <row r="81" spans="1:6" x14ac:dyDescent="0.45">
      <c r="A81">
        <v>80</v>
      </c>
      <c r="B81">
        <v>80</v>
      </c>
      <c r="C81" t="s">
        <v>332</v>
      </c>
      <c r="D81">
        <v>64</v>
      </c>
      <c r="E81">
        <v>74</v>
      </c>
      <c r="F81">
        <v>189</v>
      </c>
    </row>
    <row r="82" spans="1:6" x14ac:dyDescent="0.45">
      <c r="A82">
        <v>81</v>
      </c>
      <c r="B82">
        <v>81</v>
      </c>
      <c r="C82" t="s">
        <v>250</v>
      </c>
      <c r="D82">
        <v>137</v>
      </c>
      <c r="E82">
        <v>92</v>
      </c>
      <c r="F82">
        <v>95</v>
      </c>
    </row>
    <row r="83" spans="1:6" x14ac:dyDescent="0.45">
      <c r="A83">
        <v>82</v>
      </c>
      <c r="B83">
        <v>82</v>
      </c>
      <c r="C83" t="s">
        <v>832</v>
      </c>
      <c r="D83">
        <v>70</v>
      </c>
      <c r="E83">
        <v>76</v>
      </c>
      <c r="F83">
        <v>196</v>
      </c>
    </row>
    <row r="84" spans="1:6" x14ac:dyDescent="0.45">
      <c r="A84">
        <v>83</v>
      </c>
      <c r="B84">
        <v>83</v>
      </c>
      <c r="C84" t="s">
        <v>833</v>
      </c>
      <c r="D84">
        <v>59</v>
      </c>
      <c r="E84">
        <v>110</v>
      </c>
      <c r="F84">
        <v>212</v>
      </c>
    </row>
    <row r="85" spans="1:6" x14ac:dyDescent="0.45">
      <c r="A85">
        <v>84</v>
      </c>
      <c r="B85">
        <v>84</v>
      </c>
      <c r="C85" t="s">
        <v>834</v>
      </c>
      <c r="D85">
        <v>169</v>
      </c>
      <c r="E85">
        <v>135</v>
      </c>
      <c r="F85">
        <v>79</v>
      </c>
    </row>
    <row r="86" spans="1:6" x14ac:dyDescent="0.45">
      <c r="A86">
        <v>85</v>
      </c>
      <c r="B86">
        <v>85</v>
      </c>
      <c r="C86" t="s">
        <v>835</v>
      </c>
      <c r="D86">
        <v>87</v>
      </c>
      <c r="E86">
        <v>114</v>
      </c>
      <c r="F86">
        <v>185</v>
      </c>
    </row>
    <row r="87" spans="1:6" x14ac:dyDescent="0.45">
      <c r="A87">
        <v>86</v>
      </c>
      <c r="B87">
        <v>85</v>
      </c>
      <c r="C87" t="s">
        <v>836</v>
      </c>
      <c r="D87">
        <v>183</v>
      </c>
      <c r="E87">
        <v>97</v>
      </c>
      <c r="F87">
        <v>78</v>
      </c>
    </row>
    <row r="88" spans="1:6" x14ac:dyDescent="0.45">
      <c r="A88">
        <v>87</v>
      </c>
      <c r="B88">
        <v>87</v>
      </c>
      <c r="C88" t="s">
        <v>614</v>
      </c>
      <c r="D88">
        <v>304</v>
      </c>
      <c r="E88">
        <v>95</v>
      </c>
      <c r="F88">
        <v>36</v>
      </c>
    </row>
    <row r="89" spans="1:6" x14ac:dyDescent="0.45">
      <c r="A89">
        <v>88</v>
      </c>
      <c r="B89">
        <v>88</v>
      </c>
      <c r="C89" t="s">
        <v>749</v>
      </c>
      <c r="D89">
        <v>112</v>
      </c>
      <c r="E89">
        <v>113</v>
      </c>
      <c r="F89">
        <v>144</v>
      </c>
    </row>
    <row r="90" spans="1:6" x14ac:dyDescent="0.45">
      <c r="A90">
        <v>89</v>
      </c>
      <c r="B90">
        <v>89</v>
      </c>
      <c r="C90" t="s">
        <v>474</v>
      </c>
      <c r="D90">
        <v>124</v>
      </c>
      <c r="E90">
        <v>155</v>
      </c>
      <c r="F90">
        <v>130</v>
      </c>
    </row>
    <row r="91" spans="1:6" x14ac:dyDescent="0.45">
      <c r="A91">
        <v>90</v>
      </c>
      <c r="B91">
        <v>90</v>
      </c>
      <c r="C91" t="s">
        <v>230</v>
      </c>
      <c r="D91">
        <v>131</v>
      </c>
      <c r="E91">
        <v>63</v>
      </c>
      <c r="F91">
        <v>155</v>
      </c>
    </row>
    <row r="92" spans="1:6" x14ac:dyDescent="0.45">
      <c r="A92">
        <v>91</v>
      </c>
      <c r="B92">
        <v>91</v>
      </c>
      <c r="C92" t="s">
        <v>837</v>
      </c>
      <c r="D92">
        <v>132</v>
      </c>
      <c r="E92">
        <v>88</v>
      </c>
      <c r="F92">
        <v>140</v>
      </c>
    </row>
    <row r="93" spans="1:6" x14ac:dyDescent="0.45">
      <c r="A93">
        <v>92</v>
      </c>
      <c r="B93">
        <v>91</v>
      </c>
      <c r="C93" t="s">
        <v>838</v>
      </c>
      <c r="D93">
        <v>190</v>
      </c>
      <c r="E93">
        <v>75</v>
      </c>
      <c r="F93">
        <v>98</v>
      </c>
    </row>
    <row r="94" spans="1:6" x14ac:dyDescent="0.45">
      <c r="A94">
        <v>93</v>
      </c>
      <c r="B94">
        <v>91</v>
      </c>
      <c r="C94" t="s">
        <v>839</v>
      </c>
      <c r="D94">
        <v>128</v>
      </c>
      <c r="E94">
        <v>112</v>
      </c>
      <c r="F94">
        <v>141</v>
      </c>
    </row>
    <row r="95" spans="1:6" x14ac:dyDescent="0.45">
      <c r="A95">
        <v>94</v>
      </c>
      <c r="B95">
        <v>94</v>
      </c>
      <c r="C95" t="s">
        <v>840</v>
      </c>
      <c r="D95">
        <v>115</v>
      </c>
      <c r="E95">
        <v>161</v>
      </c>
      <c r="F95">
        <v>165</v>
      </c>
    </row>
    <row r="96" spans="1:6" x14ac:dyDescent="0.45">
      <c r="A96">
        <v>95</v>
      </c>
      <c r="B96">
        <v>95</v>
      </c>
      <c r="C96" t="s">
        <v>841</v>
      </c>
      <c r="D96">
        <v>305</v>
      </c>
      <c r="E96">
        <v>200</v>
      </c>
      <c r="F96">
        <v>41</v>
      </c>
    </row>
    <row r="97" spans="1:6" x14ac:dyDescent="0.45">
      <c r="A97">
        <v>96</v>
      </c>
      <c r="B97">
        <v>95</v>
      </c>
      <c r="C97" t="s">
        <v>842</v>
      </c>
      <c r="D97">
        <v>213</v>
      </c>
      <c r="E97">
        <v>78</v>
      </c>
      <c r="F97">
        <v>94</v>
      </c>
    </row>
    <row r="98" spans="1:6" x14ac:dyDescent="0.45">
      <c r="A98">
        <v>97</v>
      </c>
      <c r="B98">
        <v>97</v>
      </c>
      <c r="C98" t="s">
        <v>843</v>
      </c>
      <c r="D98">
        <v>135</v>
      </c>
      <c r="E98">
        <v>105</v>
      </c>
      <c r="F98">
        <v>152</v>
      </c>
    </row>
    <row r="99" spans="1:6" x14ac:dyDescent="0.45">
      <c r="A99">
        <v>98</v>
      </c>
      <c r="B99">
        <v>98</v>
      </c>
      <c r="C99" t="s">
        <v>844</v>
      </c>
      <c r="D99">
        <v>55</v>
      </c>
      <c r="E99">
        <v>127</v>
      </c>
      <c r="F99">
        <v>302</v>
      </c>
    </row>
    <row r="100" spans="1:6" x14ac:dyDescent="0.45">
      <c r="A100">
        <v>99</v>
      </c>
      <c r="B100">
        <v>98</v>
      </c>
      <c r="C100" t="s">
        <v>440</v>
      </c>
      <c r="D100">
        <v>160</v>
      </c>
      <c r="E100">
        <v>86</v>
      </c>
      <c r="F100">
        <v>139</v>
      </c>
    </row>
    <row r="101" spans="1:6" x14ac:dyDescent="0.45">
      <c r="A101">
        <v>100</v>
      </c>
      <c r="B101">
        <v>100</v>
      </c>
      <c r="C101" t="s">
        <v>845</v>
      </c>
      <c r="D101">
        <v>66</v>
      </c>
      <c r="E101">
        <v>99</v>
      </c>
      <c r="F101">
        <v>272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D0005-FD6E-4AE7-A5A9-62BA757C9CA2}">
  <sheetPr codeName="Arkusz1"/>
  <dimension ref="A1:J335"/>
  <sheetViews>
    <sheetView workbookViewId="0">
      <selection activeCell="F1" sqref="F1:J6"/>
    </sheetView>
  </sheetViews>
  <sheetFormatPr defaultRowHeight="14.25" x14ac:dyDescent="0.45"/>
  <cols>
    <col min="1" max="1" width="13.73046875" customWidth="1"/>
    <col min="7" max="7" width="9.9296875" bestFit="1" customWidth="1"/>
    <col min="8" max="9" width="35.9296875" bestFit="1" customWidth="1"/>
  </cols>
  <sheetData>
    <row r="1" spans="1:10" x14ac:dyDescent="0.45">
      <c r="A1" t="s">
        <v>488</v>
      </c>
      <c r="F1" t="s">
        <v>526</v>
      </c>
      <c r="G1" t="s">
        <v>527</v>
      </c>
      <c r="H1" t="s">
        <v>528</v>
      </c>
      <c r="I1" t="s">
        <v>529</v>
      </c>
      <c r="J1" t="s">
        <v>530</v>
      </c>
    </row>
    <row r="2" spans="1:10" x14ac:dyDescent="0.45">
      <c r="A2" t="s">
        <v>489</v>
      </c>
      <c r="F2">
        <v>1</v>
      </c>
      <c r="G2">
        <f>INDEX($A$4:$A$23,(COLUMNS($G$1:$J$1)*(ROW()-ROW($F$2:$F$6)))+(COLUMN()-COLUMN($G$1:$J$1))+1,1)</f>
        <v>1</v>
      </c>
      <c r="H2" t="str">
        <f t="shared" ref="H2:J6" si="0">INDEX($A$4:$A$23,(COLUMNS($G$1:$J$1)*(ROW()-ROW($F$2:$F$6)))+(COLUMN()-COLUMN($G$1:$J$1))+1,1)</f>
        <v>Harvard University</v>
      </c>
      <c r="I2" t="str">
        <f t="shared" si="0"/>
        <v>Harvard University</v>
      </c>
      <c r="J2" t="str">
        <f t="shared" si="0"/>
        <v>1100.0100.0</v>
      </c>
    </row>
    <row r="3" spans="1:10" x14ac:dyDescent="0.45">
      <c r="A3" t="s">
        <v>490</v>
      </c>
      <c r="F3">
        <v>2</v>
      </c>
      <c r="G3">
        <f t="shared" ref="G3:G6" si="1">INDEX($A$4:$A$23,(COLUMNS($G$1:$J$1)*(ROW()-ROW($F$2:$F$6)))+(COLUMN()-COLUMN($G$1:$J$1))+1,1)</f>
        <v>2</v>
      </c>
      <c r="H3" t="str">
        <f t="shared" si="0"/>
        <v>Stanford University</v>
      </c>
      <c r="I3" t="str">
        <f t="shared" si="0"/>
        <v>Stanford University</v>
      </c>
      <c r="J3" t="str">
        <f t="shared" si="0"/>
        <v>276.845.0</v>
      </c>
    </row>
    <row r="4" spans="1:10" x14ac:dyDescent="0.45">
      <c r="A4">
        <v>1</v>
      </c>
      <c r="F4">
        <v>3</v>
      </c>
      <c r="G4">
        <f t="shared" si="1"/>
        <v>3</v>
      </c>
      <c r="H4" t="str">
        <f t="shared" si="0"/>
        <v>Massachusetts Institute of Technology (MIT)</v>
      </c>
      <c r="I4" t="str">
        <f t="shared" si="0"/>
        <v>Massachusetts Institute of Technology (MIT)</v>
      </c>
      <c r="J4" t="str">
        <f t="shared" si="0"/>
        <v>370.172.8</v>
      </c>
    </row>
    <row r="5" spans="1:10" x14ac:dyDescent="0.45">
      <c r="A5" t="s">
        <v>8</v>
      </c>
      <c r="F5">
        <v>4</v>
      </c>
      <c r="G5">
        <f t="shared" si="1"/>
        <v>4</v>
      </c>
      <c r="H5" t="str">
        <f t="shared" si="0"/>
        <v>University of Cambridge</v>
      </c>
      <c r="I5" t="str">
        <f t="shared" si="0"/>
        <v>University of Cambridge</v>
      </c>
      <c r="J5" t="str">
        <f t="shared" si="0"/>
        <v>169.678.8</v>
      </c>
    </row>
    <row r="6" spans="1:10" x14ac:dyDescent="0.45">
      <c r="A6" t="s">
        <v>8</v>
      </c>
      <c r="F6">
        <v>5</v>
      </c>
      <c r="G6">
        <f t="shared" si="1"/>
        <v>5</v>
      </c>
      <c r="H6" t="str">
        <f t="shared" si="0"/>
        <v>University of California, Berkeley</v>
      </c>
      <c r="I6" t="str">
        <f t="shared" si="0"/>
        <v>University of California, Berkeley</v>
      </c>
      <c r="J6" t="str">
        <f t="shared" si="0"/>
        <v>465.365.4</v>
      </c>
    </row>
    <row r="7" spans="1:10" x14ac:dyDescent="0.45">
      <c r="A7" t="s">
        <v>491</v>
      </c>
    </row>
    <row r="8" spans="1:10" x14ac:dyDescent="0.45">
      <c r="A8">
        <v>2</v>
      </c>
    </row>
    <row r="9" spans="1:10" x14ac:dyDescent="0.45">
      <c r="A9" t="s">
        <v>21</v>
      </c>
    </row>
    <row r="10" spans="1:10" x14ac:dyDescent="0.45">
      <c r="A10" t="s">
        <v>21</v>
      </c>
    </row>
    <row r="11" spans="1:10" x14ac:dyDescent="0.45">
      <c r="A11" t="s">
        <v>492</v>
      </c>
    </row>
    <row r="12" spans="1:10" x14ac:dyDescent="0.45">
      <c r="A12">
        <v>3</v>
      </c>
    </row>
    <row r="13" spans="1:10" x14ac:dyDescent="0.45">
      <c r="A13" t="s">
        <v>493</v>
      </c>
    </row>
    <row r="14" spans="1:10" x14ac:dyDescent="0.45">
      <c r="A14" t="s">
        <v>493</v>
      </c>
    </row>
    <row r="15" spans="1:10" x14ac:dyDescent="0.45">
      <c r="A15" t="s">
        <v>494</v>
      </c>
    </row>
    <row r="16" spans="1:10" x14ac:dyDescent="0.45">
      <c r="A16">
        <v>4</v>
      </c>
    </row>
    <row r="17" spans="1:1" x14ac:dyDescent="0.45">
      <c r="A17" t="s">
        <v>15</v>
      </c>
    </row>
    <row r="18" spans="1:1" x14ac:dyDescent="0.45">
      <c r="A18" t="s">
        <v>15</v>
      </c>
    </row>
    <row r="19" spans="1:1" x14ac:dyDescent="0.45">
      <c r="A19" t="s">
        <v>495</v>
      </c>
    </row>
    <row r="20" spans="1:1" x14ac:dyDescent="0.45">
      <c r="A20">
        <v>5</v>
      </c>
    </row>
    <row r="21" spans="1:1" x14ac:dyDescent="0.45">
      <c r="A21" t="s">
        <v>43</v>
      </c>
    </row>
    <row r="22" spans="1:1" x14ac:dyDescent="0.45">
      <c r="A22" t="s">
        <v>43</v>
      </c>
    </row>
    <row r="23" spans="1:1" x14ac:dyDescent="0.45">
      <c r="A23" t="s">
        <v>496</v>
      </c>
    </row>
    <row r="24" spans="1:1" x14ac:dyDescent="0.45">
      <c r="A24">
        <v>6</v>
      </c>
    </row>
    <row r="25" spans="1:1" x14ac:dyDescent="0.45">
      <c r="A25" t="s">
        <v>36</v>
      </c>
    </row>
    <row r="26" spans="1:1" x14ac:dyDescent="0.45">
      <c r="A26" t="s">
        <v>36</v>
      </c>
    </row>
    <row r="27" spans="1:1" x14ac:dyDescent="0.45">
      <c r="A27" t="s">
        <v>497</v>
      </c>
    </row>
    <row r="28" spans="1:1" x14ac:dyDescent="0.45">
      <c r="A28">
        <v>7</v>
      </c>
    </row>
    <row r="29" spans="1:1" x14ac:dyDescent="0.45">
      <c r="A29" t="s">
        <v>0</v>
      </c>
    </row>
    <row r="30" spans="1:1" x14ac:dyDescent="0.45">
      <c r="A30" t="s">
        <v>0</v>
      </c>
    </row>
    <row r="31" spans="1:1" x14ac:dyDescent="0.45">
      <c r="A31" t="s">
        <v>498</v>
      </c>
    </row>
    <row r="32" spans="1:1" x14ac:dyDescent="0.45">
      <c r="A32">
        <v>8</v>
      </c>
    </row>
    <row r="33" spans="1:1" x14ac:dyDescent="0.45">
      <c r="A33" t="s">
        <v>61</v>
      </c>
    </row>
    <row r="34" spans="1:1" x14ac:dyDescent="0.45">
      <c r="A34" t="s">
        <v>61</v>
      </c>
    </row>
    <row r="35" spans="1:1" x14ac:dyDescent="0.45">
      <c r="A35" t="s">
        <v>499</v>
      </c>
    </row>
    <row r="36" spans="1:1" x14ac:dyDescent="0.45">
      <c r="A36">
        <v>9</v>
      </c>
    </row>
    <row r="37" spans="1:1" x14ac:dyDescent="0.45">
      <c r="A37" t="s">
        <v>31</v>
      </c>
    </row>
    <row r="38" spans="1:1" x14ac:dyDescent="0.45">
      <c r="A38" t="s">
        <v>31</v>
      </c>
    </row>
    <row r="39" spans="1:1" x14ac:dyDescent="0.45">
      <c r="A39" t="s">
        <v>500</v>
      </c>
    </row>
    <row r="40" spans="1:1" x14ac:dyDescent="0.45">
      <c r="A40">
        <v>10</v>
      </c>
    </row>
    <row r="41" spans="1:1" x14ac:dyDescent="0.45">
      <c r="A41" t="s">
        <v>501</v>
      </c>
    </row>
    <row r="42" spans="1:1" x14ac:dyDescent="0.45">
      <c r="A42" t="s">
        <v>501</v>
      </c>
    </row>
    <row r="43" spans="1:1" x14ac:dyDescent="0.45">
      <c r="A43" t="s">
        <v>502</v>
      </c>
    </row>
    <row r="44" spans="1:1" x14ac:dyDescent="0.45">
      <c r="A44">
        <v>11</v>
      </c>
    </row>
    <row r="45" spans="1:1" x14ac:dyDescent="0.45">
      <c r="A45" t="s">
        <v>48</v>
      </c>
    </row>
    <row r="46" spans="1:1" x14ac:dyDescent="0.45">
      <c r="A46" t="s">
        <v>48</v>
      </c>
    </row>
    <row r="47" spans="1:1" x14ac:dyDescent="0.45">
      <c r="A47" t="s">
        <v>503</v>
      </c>
    </row>
    <row r="48" spans="1:1" x14ac:dyDescent="0.45">
      <c r="A48">
        <v>12</v>
      </c>
    </row>
    <row r="49" spans="1:1" x14ac:dyDescent="0.45">
      <c r="A49" t="s">
        <v>118</v>
      </c>
    </row>
    <row r="50" spans="1:1" x14ac:dyDescent="0.45">
      <c r="A50" t="s">
        <v>118</v>
      </c>
    </row>
    <row r="51" spans="1:1" x14ac:dyDescent="0.45">
      <c r="A51" t="s">
        <v>504</v>
      </c>
    </row>
    <row r="52" spans="1:1" x14ac:dyDescent="0.45">
      <c r="A52">
        <v>13</v>
      </c>
    </row>
    <row r="53" spans="1:1" x14ac:dyDescent="0.45">
      <c r="A53" t="s">
        <v>124</v>
      </c>
    </row>
    <row r="54" spans="1:1" x14ac:dyDescent="0.45">
      <c r="A54" t="s">
        <v>124</v>
      </c>
    </row>
    <row r="55" spans="1:1" x14ac:dyDescent="0.45">
      <c r="A55" t="s">
        <v>505</v>
      </c>
    </row>
    <row r="56" spans="1:1" x14ac:dyDescent="0.45">
      <c r="A56">
        <v>14</v>
      </c>
    </row>
    <row r="57" spans="1:1" x14ac:dyDescent="0.45">
      <c r="A57" t="s">
        <v>83</v>
      </c>
    </row>
    <row r="58" spans="1:1" x14ac:dyDescent="0.45">
      <c r="A58" t="s">
        <v>83</v>
      </c>
    </row>
    <row r="59" spans="1:1" x14ac:dyDescent="0.45">
      <c r="A59" t="s">
        <v>506</v>
      </c>
    </row>
    <row r="60" spans="1:1" x14ac:dyDescent="0.45">
      <c r="A60">
        <v>15</v>
      </c>
    </row>
    <row r="61" spans="1:1" x14ac:dyDescent="0.45">
      <c r="A61" t="s">
        <v>79</v>
      </c>
    </row>
    <row r="62" spans="1:1" x14ac:dyDescent="0.45">
      <c r="A62" t="s">
        <v>79</v>
      </c>
    </row>
    <row r="63" spans="1:1" x14ac:dyDescent="0.45">
      <c r="A63" t="s">
        <v>507</v>
      </c>
    </row>
    <row r="64" spans="1:1" x14ac:dyDescent="0.45">
      <c r="A64">
        <v>16</v>
      </c>
    </row>
    <row r="65" spans="1:1" x14ac:dyDescent="0.45">
      <c r="A65" t="s">
        <v>508</v>
      </c>
    </row>
    <row r="66" spans="1:1" x14ac:dyDescent="0.45">
      <c r="A66" t="s">
        <v>508</v>
      </c>
    </row>
    <row r="67" spans="1:1" x14ac:dyDescent="0.45">
      <c r="A67" t="s">
        <v>509</v>
      </c>
    </row>
    <row r="68" spans="1:1" x14ac:dyDescent="0.45">
      <c r="A68">
        <v>17</v>
      </c>
    </row>
    <row r="69" spans="1:1" x14ac:dyDescent="0.45">
      <c r="A69" t="s">
        <v>157</v>
      </c>
    </row>
    <row r="70" spans="1:1" x14ac:dyDescent="0.45">
      <c r="A70" t="s">
        <v>157</v>
      </c>
    </row>
    <row r="71" spans="1:1" x14ac:dyDescent="0.45">
      <c r="A71" t="s">
        <v>510</v>
      </c>
    </row>
    <row r="72" spans="1:1" x14ac:dyDescent="0.45">
      <c r="A72">
        <v>18</v>
      </c>
    </row>
    <row r="73" spans="1:1" x14ac:dyDescent="0.45">
      <c r="A73" t="s">
        <v>511</v>
      </c>
    </row>
    <row r="74" spans="1:1" x14ac:dyDescent="0.45">
      <c r="A74" t="s">
        <v>511</v>
      </c>
    </row>
    <row r="75" spans="1:1" x14ac:dyDescent="0.45">
      <c r="A75" t="s">
        <v>512</v>
      </c>
    </row>
    <row r="76" spans="1:1" x14ac:dyDescent="0.45">
      <c r="A76">
        <v>19</v>
      </c>
    </row>
    <row r="77" spans="1:1" x14ac:dyDescent="0.45">
      <c r="A77" t="s">
        <v>513</v>
      </c>
    </row>
    <row r="78" spans="1:1" x14ac:dyDescent="0.45">
      <c r="A78" t="s">
        <v>513</v>
      </c>
    </row>
    <row r="79" spans="1:1" x14ac:dyDescent="0.45">
      <c r="A79" t="s">
        <v>514</v>
      </c>
    </row>
    <row r="80" spans="1:1" x14ac:dyDescent="0.45">
      <c r="A80">
        <v>20</v>
      </c>
    </row>
    <row r="81" spans="1:1" x14ac:dyDescent="0.45">
      <c r="A81" t="s">
        <v>67</v>
      </c>
    </row>
    <row r="82" spans="1:1" x14ac:dyDescent="0.45">
      <c r="A82" t="s">
        <v>67</v>
      </c>
    </row>
    <row r="83" spans="1:1" x14ac:dyDescent="0.45">
      <c r="A83" t="s">
        <v>515</v>
      </c>
    </row>
    <row r="84" spans="1:1" x14ac:dyDescent="0.45">
      <c r="A84">
        <v>21</v>
      </c>
    </row>
    <row r="85" spans="1:1" x14ac:dyDescent="0.45">
      <c r="A85" t="s">
        <v>185</v>
      </c>
    </row>
    <row r="86" spans="1:1" x14ac:dyDescent="0.45">
      <c r="A86" t="s">
        <v>185</v>
      </c>
    </row>
    <row r="87" spans="1:1" x14ac:dyDescent="0.45">
      <c r="A87" t="s">
        <v>516</v>
      </c>
    </row>
    <row r="88" spans="1:1" x14ac:dyDescent="0.45">
      <c r="A88">
        <v>22</v>
      </c>
    </row>
    <row r="89" spans="1:1" x14ac:dyDescent="0.45">
      <c r="A89" t="s">
        <v>102</v>
      </c>
    </row>
    <row r="90" spans="1:1" x14ac:dyDescent="0.45">
      <c r="A90" t="s">
        <v>102</v>
      </c>
    </row>
    <row r="91" spans="1:1" x14ac:dyDescent="0.45">
      <c r="A91" t="s">
        <v>517</v>
      </c>
    </row>
    <row r="92" spans="1:1" x14ac:dyDescent="0.45">
      <c r="A92">
        <v>23</v>
      </c>
    </row>
    <row r="93" spans="1:1" x14ac:dyDescent="0.45">
      <c r="A93" t="s">
        <v>54</v>
      </c>
    </row>
    <row r="94" spans="1:1" x14ac:dyDescent="0.45">
      <c r="A94" t="s">
        <v>54</v>
      </c>
    </row>
    <row r="95" spans="1:1" x14ac:dyDescent="0.45">
      <c r="A95" t="s">
        <v>518</v>
      </c>
    </row>
    <row r="96" spans="1:1" x14ac:dyDescent="0.45">
      <c r="A96">
        <v>24</v>
      </c>
    </row>
    <row r="97" spans="1:1" x14ac:dyDescent="0.45">
      <c r="A97" t="s">
        <v>220</v>
      </c>
    </row>
    <row r="98" spans="1:1" x14ac:dyDescent="0.45">
      <c r="A98" t="s">
        <v>220</v>
      </c>
    </row>
    <row r="99" spans="1:1" x14ac:dyDescent="0.45">
      <c r="A99" t="s">
        <v>519</v>
      </c>
    </row>
    <row r="100" spans="1:1" x14ac:dyDescent="0.45">
      <c r="A100">
        <v>25</v>
      </c>
    </row>
    <row r="101" spans="1:1" x14ac:dyDescent="0.45">
      <c r="A101" t="s">
        <v>139</v>
      </c>
    </row>
    <row r="102" spans="1:1" x14ac:dyDescent="0.45">
      <c r="A102" t="s">
        <v>139</v>
      </c>
    </row>
    <row r="103" spans="1:1" x14ac:dyDescent="0.45">
      <c r="A103" t="s">
        <v>520</v>
      </c>
    </row>
    <row r="104" spans="1:1" x14ac:dyDescent="0.45">
      <c r="A104">
        <v>26</v>
      </c>
    </row>
    <row r="105" spans="1:1" x14ac:dyDescent="0.45">
      <c r="A105" t="s">
        <v>89</v>
      </c>
    </row>
    <row r="106" spans="1:1" x14ac:dyDescent="0.45">
      <c r="A106" t="s">
        <v>89</v>
      </c>
    </row>
    <row r="107" spans="1:1" x14ac:dyDescent="0.45">
      <c r="A107" t="s">
        <v>521</v>
      </c>
    </row>
    <row r="108" spans="1:1" x14ac:dyDescent="0.45">
      <c r="A108">
        <v>27</v>
      </c>
    </row>
    <row r="109" spans="1:1" x14ac:dyDescent="0.45">
      <c r="A109" t="s">
        <v>522</v>
      </c>
    </row>
    <row r="110" spans="1:1" x14ac:dyDescent="0.45">
      <c r="A110" t="s">
        <v>522</v>
      </c>
    </row>
    <row r="111" spans="1:1" x14ac:dyDescent="0.45">
      <c r="A111" t="s">
        <v>523</v>
      </c>
    </row>
    <row r="112" spans="1:1" x14ac:dyDescent="0.45">
      <c r="A112">
        <v>28</v>
      </c>
    </row>
    <row r="113" spans="1:6" x14ac:dyDescent="0.45">
      <c r="A113" t="s">
        <v>133</v>
      </c>
    </row>
    <row r="114" spans="1:6" x14ac:dyDescent="0.45">
      <c r="A114" t="s">
        <v>133</v>
      </c>
    </row>
    <row r="115" spans="1:6" x14ac:dyDescent="0.45">
      <c r="A115" t="s">
        <v>524</v>
      </c>
    </row>
    <row r="116" spans="1:6" x14ac:dyDescent="0.45">
      <c r="A116">
        <v>29</v>
      </c>
    </row>
    <row r="117" spans="1:6" x14ac:dyDescent="0.45">
      <c r="A117" t="s">
        <v>366</v>
      </c>
    </row>
    <row r="118" spans="1:6" x14ac:dyDescent="0.45">
      <c r="A118" t="s">
        <v>366</v>
      </c>
    </row>
    <row r="119" spans="1:6" x14ac:dyDescent="0.45">
      <c r="A119" s="3">
        <v>50591</v>
      </c>
    </row>
    <row r="120" spans="1:6" x14ac:dyDescent="0.45">
      <c r="A120">
        <v>30</v>
      </c>
    </row>
    <row r="121" spans="1:6" x14ac:dyDescent="0.45">
      <c r="A121" t="s">
        <v>151</v>
      </c>
    </row>
    <row r="122" spans="1:6" x14ac:dyDescent="0.45">
      <c r="A122" t="s">
        <v>151</v>
      </c>
    </row>
    <row r="123" spans="1:6" x14ac:dyDescent="0.45">
      <c r="A123" t="s">
        <v>525</v>
      </c>
    </row>
    <row r="124" spans="1:6" x14ac:dyDescent="0.45">
      <c r="A124" t="s">
        <v>527</v>
      </c>
      <c r="B124" t="s">
        <v>528</v>
      </c>
      <c r="D124" t="s">
        <v>489</v>
      </c>
      <c r="E124" t="s">
        <v>490</v>
      </c>
    </row>
    <row r="125" spans="1:6" x14ac:dyDescent="0.45">
      <c r="A125">
        <v>31</v>
      </c>
      <c r="B125" t="s">
        <v>145</v>
      </c>
      <c r="D125">
        <v>22</v>
      </c>
      <c r="E125" t="s">
        <v>531</v>
      </c>
      <c r="F125" t="s">
        <v>532</v>
      </c>
    </row>
    <row r="126" spans="1:6" x14ac:dyDescent="0.45">
      <c r="B126" t="s">
        <v>145</v>
      </c>
    </row>
    <row r="127" spans="1:6" x14ac:dyDescent="0.45">
      <c r="A127">
        <v>32</v>
      </c>
      <c r="B127" t="s">
        <v>533</v>
      </c>
      <c r="D127">
        <v>1</v>
      </c>
      <c r="E127" t="s">
        <v>534</v>
      </c>
      <c r="F127" s="4">
        <v>44941</v>
      </c>
    </row>
    <row r="128" spans="1:6" x14ac:dyDescent="0.45">
      <c r="B128" t="s">
        <v>533</v>
      </c>
    </row>
    <row r="129" spans="1:6" x14ac:dyDescent="0.45">
      <c r="A129">
        <v>33</v>
      </c>
      <c r="B129" t="s">
        <v>535</v>
      </c>
      <c r="D129">
        <v>23</v>
      </c>
      <c r="E129" t="s">
        <v>536</v>
      </c>
      <c r="F129" s="4">
        <v>45135</v>
      </c>
    </row>
    <row r="130" spans="1:6" x14ac:dyDescent="0.45">
      <c r="B130" t="s">
        <v>535</v>
      </c>
    </row>
    <row r="131" spans="1:6" x14ac:dyDescent="0.45">
      <c r="A131">
        <v>34</v>
      </c>
      <c r="B131" t="s">
        <v>97</v>
      </c>
      <c r="D131">
        <v>2</v>
      </c>
      <c r="E131" t="s">
        <v>312</v>
      </c>
      <c r="F131" s="4">
        <v>45117</v>
      </c>
    </row>
    <row r="132" spans="1:6" x14ac:dyDescent="0.45">
      <c r="B132" t="s">
        <v>97</v>
      </c>
    </row>
    <row r="133" spans="1:6" x14ac:dyDescent="0.45">
      <c r="A133">
        <v>35</v>
      </c>
      <c r="B133" t="s">
        <v>537</v>
      </c>
      <c r="D133">
        <v>5</v>
      </c>
      <c r="E133" t="s">
        <v>538</v>
      </c>
      <c r="F133" s="4">
        <v>44952</v>
      </c>
    </row>
    <row r="134" spans="1:6" x14ac:dyDescent="0.45">
      <c r="B134" t="s">
        <v>537</v>
      </c>
    </row>
    <row r="135" spans="1:6" x14ac:dyDescent="0.45">
      <c r="A135">
        <v>36</v>
      </c>
      <c r="B135" t="s">
        <v>355</v>
      </c>
      <c r="D135">
        <v>3</v>
      </c>
      <c r="E135" t="s">
        <v>539</v>
      </c>
      <c r="F135" t="s">
        <v>540</v>
      </c>
    </row>
    <row r="136" spans="1:6" x14ac:dyDescent="0.45">
      <c r="B136" t="s">
        <v>355</v>
      </c>
    </row>
    <row r="137" spans="1:6" x14ac:dyDescent="0.45">
      <c r="A137">
        <v>37</v>
      </c>
      <c r="B137" t="s">
        <v>541</v>
      </c>
      <c r="D137">
        <v>24</v>
      </c>
      <c r="E137" t="s">
        <v>542</v>
      </c>
      <c r="F137" s="4">
        <v>45192</v>
      </c>
    </row>
    <row r="138" spans="1:6" x14ac:dyDescent="0.45">
      <c r="B138" t="s">
        <v>541</v>
      </c>
    </row>
    <row r="139" spans="1:6" x14ac:dyDescent="0.45">
      <c r="A139">
        <v>38</v>
      </c>
      <c r="B139" t="s">
        <v>543</v>
      </c>
      <c r="D139">
        <v>6</v>
      </c>
      <c r="E139" t="s">
        <v>544</v>
      </c>
      <c r="F139" s="4">
        <v>44941</v>
      </c>
    </row>
    <row r="140" spans="1:6" x14ac:dyDescent="0.45">
      <c r="B140" t="s">
        <v>543</v>
      </c>
    </row>
    <row r="141" spans="1:6" x14ac:dyDescent="0.45">
      <c r="A141">
        <v>39</v>
      </c>
      <c r="B141" t="s">
        <v>545</v>
      </c>
      <c r="D141">
        <v>1</v>
      </c>
      <c r="E141" t="s">
        <v>546</v>
      </c>
      <c r="F141" s="4">
        <v>44976</v>
      </c>
    </row>
    <row r="142" spans="1:6" x14ac:dyDescent="0.45">
      <c r="B142" t="s">
        <v>545</v>
      </c>
    </row>
    <row r="143" spans="1:6" x14ac:dyDescent="0.45">
      <c r="A143">
        <v>40</v>
      </c>
      <c r="B143" t="s">
        <v>547</v>
      </c>
      <c r="D143">
        <v>2</v>
      </c>
      <c r="E143" t="s">
        <v>548</v>
      </c>
      <c r="F143" t="s">
        <v>415</v>
      </c>
    </row>
    <row r="144" spans="1:6" x14ac:dyDescent="0.45">
      <c r="B144" t="s">
        <v>547</v>
      </c>
    </row>
    <row r="145" spans="1:6" x14ac:dyDescent="0.45">
      <c r="A145">
        <v>41</v>
      </c>
      <c r="B145" t="s">
        <v>270</v>
      </c>
      <c r="D145">
        <v>1</v>
      </c>
      <c r="E145" t="s">
        <v>549</v>
      </c>
      <c r="F145" s="4">
        <v>45008</v>
      </c>
    </row>
    <row r="146" spans="1:6" x14ac:dyDescent="0.45">
      <c r="B146" t="s">
        <v>270</v>
      </c>
    </row>
    <row r="147" spans="1:6" x14ac:dyDescent="0.45">
      <c r="A147">
        <v>41</v>
      </c>
      <c r="B147" t="s">
        <v>360</v>
      </c>
      <c r="D147">
        <v>2</v>
      </c>
      <c r="E147" t="s">
        <v>549</v>
      </c>
      <c r="F147" t="s">
        <v>542</v>
      </c>
    </row>
    <row r="148" spans="1:6" x14ac:dyDescent="0.45">
      <c r="B148" t="s">
        <v>360</v>
      </c>
    </row>
    <row r="149" spans="1:6" x14ac:dyDescent="0.45">
      <c r="A149">
        <v>43</v>
      </c>
      <c r="B149" t="s">
        <v>446</v>
      </c>
      <c r="D149">
        <v>3</v>
      </c>
      <c r="E149" t="s">
        <v>550</v>
      </c>
      <c r="F149" t="s">
        <v>551</v>
      </c>
    </row>
    <row r="150" spans="1:6" x14ac:dyDescent="0.45">
      <c r="B150" t="s">
        <v>446</v>
      </c>
    </row>
    <row r="151" spans="1:6" x14ac:dyDescent="0.45">
      <c r="A151">
        <v>44</v>
      </c>
      <c r="B151" t="s">
        <v>552</v>
      </c>
      <c r="D151" t="s">
        <v>553</v>
      </c>
      <c r="E151" t="s">
        <v>554</v>
      </c>
      <c r="F151" t="s">
        <v>555</v>
      </c>
    </row>
    <row r="152" spans="1:6" x14ac:dyDescent="0.45">
      <c r="B152" t="s">
        <v>552</v>
      </c>
    </row>
    <row r="153" spans="1:6" x14ac:dyDescent="0.45">
      <c r="A153">
        <v>44</v>
      </c>
      <c r="B153" t="s">
        <v>225</v>
      </c>
      <c r="D153">
        <v>2</v>
      </c>
      <c r="E153" t="s">
        <v>554</v>
      </c>
      <c r="F153" s="4">
        <v>44940</v>
      </c>
    </row>
    <row r="154" spans="1:6" x14ac:dyDescent="0.45">
      <c r="B154" t="s">
        <v>225</v>
      </c>
    </row>
    <row r="155" spans="1:6" x14ac:dyDescent="0.45">
      <c r="A155">
        <v>44</v>
      </c>
      <c r="B155" t="s">
        <v>556</v>
      </c>
      <c r="D155" t="s">
        <v>553</v>
      </c>
      <c r="E155" t="s">
        <v>554</v>
      </c>
      <c r="F155" s="4">
        <v>45133</v>
      </c>
    </row>
    <row r="156" spans="1:6" x14ac:dyDescent="0.45">
      <c r="B156" t="s">
        <v>556</v>
      </c>
    </row>
    <row r="157" spans="1:6" x14ac:dyDescent="0.45">
      <c r="A157">
        <v>47</v>
      </c>
      <c r="B157" t="s">
        <v>289</v>
      </c>
      <c r="D157">
        <v>2</v>
      </c>
      <c r="E157" t="s">
        <v>557</v>
      </c>
      <c r="F157" s="4">
        <v>45180</v>
      </c>
    </row>
    <row r="158" spans="1:6" x14ac:dyDescent="0.45">
      <c r="B158" t="s">
        <v>289</v>
      </c>
    </row>
    <row r="159" spans="1:6" x14ac:dyDescent="0.45">
      <c r="A159">
        <v>48</v>
      </c>
      <c r="B159" t="s">
        <v>558</v>
      </c>
      <c r="D159">
        <v>7</v>
      </c>
      <c r="E159" t="s">
        <v>559</v>
      </c>
      <c r="F159" s="4">
        <v>45192</v>
      </c>
    </row>
    <row r="160" spans="1:6" x14ac:dyDescent="0.45">
      <c r="B160" t="s">
        <v>558</v>
      </c>
    </row>
    <row r="161" spans="1:6" x14ac:dyDescent="0.45">
      <c r="A161">
        <v>49</v>
      </c>
      <c r="B161" t="s">
        <v>266</v>
      </c>
      <c r="D161">
        <v>27</v>
      </c>
      <c r="E161" t="s">
        <v>560</v>
      </c>
      <c r="F161" s="4">
        <v>44952</v>
      </c>
    </row>
    <row r="162" spans="1:6" x14ac:dyDescent="0.45">
      <c r="B162" t="s">
        <v>266</v>
      </c>
    </row>
    <row r="163" spans="1:6" x14ac:dyDescent="0.45">
      <c r="A163">
        <v>50</v>
      </c>
      <c r="B163" t="s">
        <v>561</v>
      </c>
      <c r="D163">
        <v>28</v>
      </c>
      <c r="E163" t="s">
        <v>562</v>
      </c>
      <c r="F163" s="4">
        <v>45124</v>
      </c>
    </row>
    <row r="164" spans="1:6" x14ac:dyDescent="0.45">
      <c r="B164" t="s">
        <v>561</v>
      </c>
    </row>
    <row r="165" spans="1:6" x14ac:dyDescent="0.45">
      <c r="A165">
        <v>51</v>
      </c>
      <c r="B165" t="s">
        <v>563</v>
      </c>
      <c r="D165">
        <v>29</v>
      </c>
      <c r="E165" t="s">
        <v>564</v>
      </c>
      <c r="F165" s="4">
        <v>45180</v>
      </c>
    </row>
    <row r="166" spans="1:6" x14ac:dyDescent="0.45">
      <c r="B166" t="s">
        <v>563</v>
      </c>
    </row>
    <row r="167" spans="1:6" x14ac:dyDescent="0.45">
      <c r="A167">
        <v>52</v>
      </c>
      <c r="B167" t="s">
        <v>565</v>
      </c>
      <c r="D167">
        <v>30</v>
      </c>
      <c r="E167" t="s">
        <v>566</v>
      </c>
      <c r="F167" s="4">
        <v>45124</v>
      </c>
    </row>
    <row r="168" spans="1:6" x14ac:dyDescent="0.45">
      <c r="B168" t="s">
        <v>565</v>
      </c>
    </row>
    <row r="169" spans="1:6" x14ac:dyDescent="0.45">
      <c r="A169">
        <v>53</v>
      </c>
      <c r="B169" t="s">
        <v>347</v>
      </c>
      <c r="D169">
        <v>31</v>
      </c>
      <c r="E169" t="s">
        <v>567</v>
      </c>
      <c r="F169" t="s">
        <v>540</v>
      </c>
    </row>
    <row r="170" spans="1:6" x14ac:dyDescent="0.45">
      <c r="B170" t="s">
        <v>347</v>
      </c>
    </row>
    <row r="171" spans="1:6" x14ac:dyDescent="0.45">
      <c r="A171">
        <v>54</v>
      </c>
      <c r="B171" t="s">
        <v>286</v>
      </c>
      <c r="D171">
        <v>4</v>
      </c>
      <c r="E171" t="s">
        <v>568</v>
      </c>
      <c r="F171" t="s">
        <v>540</v>
      </c>
    </row>
    <row r="172" spans="1:6" x14ac:dyDescent="0.45">
      <c r="B172" t="s">
        <v>286</v>
      </c>
    </row>
    <row r="173" spans="1:6" x14ac:dyDescent="0.45">
      <c r="A173">
        <v>54</v>
      </c>
      <c r="B173" t="s">
        <v>352</v>
      </c>
      <c r="D173">
        <v>1</v>
      </c>
      <c r="E173" t="s">
        <v>568</v>
      </c>
      <c r="F173" s="4">
        <v>45037</v>
      </c>
    </row>
    <row r="174" spans="1:6" x14ac:dyDescent="0.45">
      <c r="B174" t="s">
        <v>352</v>
      </c>
    </row>
    <row r="175" spans="1:6" x14ac:dyDescent="0.45">
      <c r="A175">
        <v>56</v>
      </c>
      <c r="B175" t="s">
        <v>173</v>
      </c>
      <c r="D175">
        <v>1</v>
      </c>
      <c r="E175" s="4">
        <v>45138</v>
      </c>
      <c r="F175" t="s">
        <v>569</v>
      </c>
    </row>
    <row r="176" spans="1:6" x14ac:dyDescent="0.45">
      <c r="B176" t="s">
        <v>173</v>
      </c>
    </row>
    <row r="177" spans="1:6" x14ac:dyDescent="0.45">
      <c r="A177">
        <v>57</v>
      </c>
      <c r="B177" t="s">
        <v>345</v>
      </c>
      <c r="D177">
        <v>32</v>
      </c>
      <c r="E177" s="4">
        <v>45077</v>
      </c>
      <c r="F177" s="4">
        <v>44940</v>
      </c>
    </row>
    <row r="178" spans="1:6" x14ac:dyDescent="0.45">
      <c r="B178" t="s">
        <v>345</v>
      </c>
    </row>
    <row r="179" spans="1:6" x14ac:dyDescent="0.45">
      <c r="A179">
        <v>57</v>
      </c>
      <c r="B179" t="s">
        <v>570</v>
      </c>
      <c r="D179">
        <v>2</v>
      </c>
      <c r="E179" s="4">
        <v>45077</v>
      </c>
      <c r="F179" s="4">
        <v>45102</v>
      </c>
    </row>
    <row r="180" spans="1:6" x14ac:dyDescent="0.45">
      <c r="B180" t="s">
        <v>570</v>
      </c>
    </row>
    <row r="181" spans="1:6" x14ac:dyDescent="0.45">
      <c r="A181">
        <v>59</v>
      </c>
      <c r="B181" t="s">
        <v>425</v>
      </c>
      <c r="D181">
        <v>2</v>
      </c>
      <c r="E181" t="s">
        <v>571</v>
      </c>
      <c r="F181" t="s">
        <v>540</v>
      </c>
    </row>
    <row r="182" spans="1:6" x14ac:dyDescent="0.45">
      <c r="B182" t="s">
        <v>425</v>
      </c>
    </row>
    <row r="183" spans="1:6" x14ac:dyDescent="0.45">
      <c r="A183">
        <v>60</v>
      </c>
      <c r="B183" t="s">
        <v>572</v>
      </c>
      <c r="D183">
        <v>3</v>
      </c>
      <c r="E183" s="4">
        <v>45168</v>
      </c>
      <c r="F183" s="4">
        <v>44939</v>
      </c>
    </row>
    <row r="184" spans="1:6" x14ac:dyDescent="0.45">
      <c r="B184" t="s">
        <v>572</v>
      </c>
    </row>
    <row r="187" spans="1:6" x14ac:dyDescent="0.45">
      <c r="A187" t="s">
        <v>527</v>
      </c>
      <c r="B187" t="s">
        <v>528</v>
      </c>
      <c r="D187" t="s">
        <v>489</v>
      </c>
      <c r="E187" t="s">
        <v>490</v>
      </c>
    </row>
    <row r="188" spans="1:6" x14ac:dyDescent="0.45">
      <c r="A188">
        <v>1</v>
      </c>
      <c r="B188" t="s">
        <v>8</v>
      </c>
      <c r="D188">
        <v>1</v>
      </c>
      <c r="E188" t="s">
        <v>95</v>
      </c>
      <c r="F188" t="s">
        <v>95</v>
      </c>
    </row>
    <row r="189" spans="1:6" x14ac:dyDescent="0.45">
      <c r="B189" t="s">
        <v>8</v>
      </c>
    </row>
    <row r="190" spans="1:6" x14ac:dyDescent="0.45">
      <c r="A190">
        <v>2</v>
      </c>
      <c r="B190" t="s">
        <v>21</v>
      </c>
      <c r="D190">
        <v>2</v>
      </c>
      <c r="E190" t="s">
        <v>46</v>
      </c>
      <c r="F190" t="s">
        <v>573</v>
      </c>
    </row>
    <row r="191" spans="1:6" x14ac:dyDescent="0.45">
      <c r="B191" t="s">
        <v>21</v>
      </c>
    </row>
    <row r="192" spans="1:6" x14ac:dyDescent="0.45">
      <c r="A192">
        <v>3</v>
      </c>
      <c r="B192" t="s">
        <v>493</v>
      </c>
      <c r="D192">
        <v>3</v>
      </c>
      <c r="E192" t="s">
        <v>574</v>
      </c>
      <c r="F192" t="s">
        <v>575</v>
      </c>
    </row>
    <row r="193" spans="1:6" x14ac:dyDescent="0.45">
      <c r="B193" t="s">
        <v>493</v>
      </c>
    </row>
    <row r="194" spans="1:6" x14ac:dyDescent="0.45">
      <c r="A194">
        <v>4</v>
      </c>
      <c r="B194" t="s">
        <v>15</v>
      </c>
      <c r="D194">
        <v>1</v>
      </c>
      <c r="E194" t="s">
        <v>327</v>
      </c>
      <c r="F194" t="s">
        <v>264</v>
      </c>
    </row>
    <row r="195" spans="1:6" x14ac:dyDescent="0.45">
      <c r="B195" t="s">
        <v>15</v>
      </c>
    </row>
    <row r="196" spans="1:6" x14ac:dyDescent="0.45">
      <c r="A196">
        <v>5</v>
      </c>
      <c r="B196" t="s">
        <v>43</v>
      </c>
      <c r="D196">
        <v>4</v>
      </c>
      <c r="E196" t="s">
        <v>417</v>
      </c>
      <c r="F196" t="s">
        <v>164</v>
      </c>
    </row>
    <row r="197" spans="1:6" x14ac:dyDescent="0.45">
      <c r="B197" t="s">
        <v>43</v>
      </c>
    </row>
    <row r="198" spans="1:6" x14ac:dyDescent="0.45">
      <c r="A198">
        <v>6</v>
      </c>
      <c r="B198" t="s">
        <v>36</v>
      </c>
      <c r="D198">
        <v>5</v>
      </c>
      <c r="E198" t="s">
        <v>576</v>
      </c>
      <c r="F198" t="s">
        <v>227</v>
      </c>
    </row>
    <row r="199" spans="1:6" x14ac:dyDescent="0.45">
      <c r="B199" t="s">
        <v>36</v>
      </c>
    </row>
    <row r="200" spans="1:6" x14ac:dyDescent="0.45">
      <c r="A200">
        <v>7</v>
      </c>
      <c r="B200" t="s">
        <v>0</v>
      </c>
      <c r="D200">
        <v>2</v>
      </c>
      <c r="E200" t="s">
        <v>447</v>
      </c>
      <c r="F200" t="s">
        <v>328</v>
      </c>
    </row>
    <row r="201" spans="1:6" x14ac:dyDescent="0.45">
      <c r="B201" t="s">
        <v>0</v>
      </c>
    </row>
    <row r="202" spans="1:6" x14ac:dyDescent="0.45">
      <c r="A202">
        <v>8</v>
      </c>
      <c r="B202" t="s">
        <v>61</v>
      </c>
      <c r="D202">
        <v>6</v>
      </c>
      <c r="E202" t="s">
        <v>577</v>
      </c>
      <c r="F202" t="s">
        <v>467</v>
      </c>
    </row>
    <row r="203" spans="1:6" x14ac:dyDescent="0.45">
      <c r="B203" t="s">
        <v>61</v>
      </c>
    </row>
    <row r="204" spans="1:6" x14ac:dyDescent="0.45">
      <c r="A204">
        <v>9</v>
      </c>
      <c r="B204" t="s">
        <v>31</v>
      </c>
      <c r="D204">
        <v>7</v>
      </c>
      <c r="E204" t="s">
        <v>374</v>
      </c>
      <c r="F204" t="s">
        <v>406</v>
      </c>
    </row>
    <row r="205" spans="1:6" x14ac:dyDescent="0.45">
      <c r="B205" t="s">
        <v>31</v>
      </c>
    </row>
    <row r="206" spans="1:6" x14ac:dyDescent="0.45">
      <c r="A206">
        <v>10</v>
      </c>
      <c r="B206" t="s">
        <v>501</v>
      </c>
      <c r="D206">
        <v>8</v>
      </c>
      <c r="E206" t="s">
        <v>359</v>
      </c>
      <c r="F206" t="s">
        <v>578</v>
      </c>
    </row>
    <row r="207" spans="1:6" x14ac:dyDescent="0.45">
      <c r="B207" t="s">
        <v>501</v>
      </c>
    </row>
    <row r="208" spans="1:6" x14ac:dyDescent="0.45">
      <c r="A208">
        <v>11</v>
      </c>
      <c r="B208" t="s">
        <v>48</v>
      </c>
      <c r="D208">
        <v>9</v>
      </c>
      <c r="E208" t="s">
        <v>579</v>
      </c>
      <c r="F208" t="s">
        <v>580</v>
      </c>
    </row>
    <row r="209" spans="1:6" x14ac:dyDescent="0.45">
      <c r="B209" t="s">
        <v>48</v>
      </c>
    </row>
    <row r="210" spans="1:6" x14ac:dyDescent="0.45">
      <c r="A210">
        <v>12</v>
      </c>
      <c r="B210" t="s">
        <v>118</v>
      </c>
      <c r="D210">
        <v>10</v>
      </c>
      <c r="E210" t="s">
        <v>325</v>
      </c>
      <c r="F210" t="s">
        <v>368</v>
      </c>
    </row>
    <row r="211" spans="1:6" x14ac:dyDescent="0.45">
      <c r="B211" t="s">
        <v>118</v>
      </c>
    </row>
    <row r="212" spans="1:6" x14ac:dyDescent="0.45">
      <c r="A212">
        <v>13</v>
      </c>
      <c r="B212" t="s">
        <v>124</v>
      </c>
      <c r="D212">
        <v>11</v>
      </c>
      <c r="E212" t="s">
        <v>581</v>
      </c>
      <c r="F212" s="4">
        <v>45137</v>
      </c>
    </row>
    <row r="213" spans="1:6" x14ac:dyDescent="0.45">
      <c r="B213" t="s">
        <v>124</v>
      </c>
    </row>
    <row r="214" spans="1:6" x14ac:dyDescent="0.45">
      <c r="A214">
        <v>14</v>
      </c>
      <c r="B214" t="s">
        <v>83</v>
      </c>
      <c r="D214">
        <v>12</v>
      </c>
      <c r="E214" t="s">
        <v>229</v>
      </c>
      <c r="F214" t="s">
        <v>582</v>
      </c>
    </row>
    <row r="215" spans="1:6" x14ac:dyDescent="0.45">
      <c r="B215" t="s">
        <v>83</v>
      </c>
    </row>
    <row r="216" spans="1:6" x14ac:dyDescent="0.45">
      <c r="A216">
        <v>15</v>
      </c>
      <c r="B216" t="s">
        <v>79</v>
      </c>
      <c r="D216">
        <v>13</v>
      </c>
      <c r="E216" t="s">
        <v>317</v>
      </c>
      <c r="F216" t="s">
        <v>566</v>
      </c>
    </row>
    <row r="217" spans="1:6" x14ac:dyDescent="0.45">
      <c r="B217" t="s">
        <v>79</v>
      </c>
    </row>
    <row r="218" spans="1:6" x14ac:dyDescent="0.45">
      <c r="A218">
        <v>16</v>
      </c>
      <c r="B218" t="s">
        <v>508</v>
      </c>
      <c r="D218">
        <v>1</v>
      </c>
      <c r="E218" t="s">
        <v>583</v>
      </c>
      <c r="F218" s="4">
        <v>45196</v>
      </c>
    </row>
    <row r="219" spans="1:6" x14ac:dyDescent="0.45">
      <c r="B219" t="s">
        <v>508</v>
      </c>
    </row>
    <row r="220" spans="1:6" x14ac:dyDescent="0.45">
      <c r="A220">
        <v>17</v>
      </c>
      <c r="B220" t="s">
        <v>157</v>
      </c>
      <c r="D220">
        <v>14</v>
      </c>
      <c r="E220" t="s">
        <v>584</v>
      </c>
      <c r="F220" s="4">
        <v>45008</v>
      </c>
    </row>
    <row r="221" spans="1:6" x14ac:dyDescent="0.45">
      <c r="B221" t="s">
        <v>157</v>
      </c>
    </row>
    <row r="222" spans="1:6" x14ac:dyDescent="0.45">
      <c r="A222">
        <v>18</v>
      </c>
      <c r="B222" t="s">
        <v>511</v>
      </c>
      <c r="D222">
        <v>3</v>
      </c>
      <c r="E222" t="s">
        <v>404</v>
      </c>
      <c r="F222" s="4">
        <v>45134</v>
      </c>
    </row>
    <row r="223" spans="1:6" x14ac:dyDescent="0.45">
      <c r="B223" t="s">
        <v>511</v>
      </c>
    </row>
    <row r="224" spans="1:6" x14ac:dyDescent="0.45">
      <c r="A224">
        <v>19</v>
      </c>
      <c r="B224" t="s">
        <v>513</v>
      </c>
      <c r="D224">
        <v>15</v>
      </c>
      <c r="E224" t="s">
        <v>585</v>
      </c>
      <c r="F224" t="s">
        <v>540</v>
      </c>
    </row>
    <row r="225" spans="1:6" x14ac:dyDescent="0.45">
      <c r="B225" t="s">
        <v>513</v>
      </c>
    </row>
    <row r="226" spans="1:6" x14ac:dyDescent="0.45">
      <c r="A226">
        <v>20</v>
      </c>
      <c r="B226" t="s">
        <v>67</v>
      </c>
      <c r="D226">
        <v>1</v>
      </c>
      <c r="E226" t="s">
        <v>203</v>
      </c>
      <c r="F226" s="4">
        <v>44984</v>
      </c>
    </row>
    <row r="227" spans="1:6" x14ac:dyDescent="0.45">
      <c r="B227" t="s">
        <v>67</v>
      </c>
    </row>
    <row r="228" spans="1:6" x14ac:dyDescent="0.45">
      <c r="A228">
        <v>21</v>
      </c>
      <c r="B228" t="s">
        <v>185</v>
      </c>
      <c r="D228">
        <v>16</v>
      </c>
      <c r="E228" t="s">
        <v>586</v>
      </c>
      <c r="F228" s="4">
        <v>45064</v>
      </c>
    </row>
    <row r="229" spans="1:6" x14ac:dyDescent="0.45">
      <c r="B229" t="s">
        <v>185</v>
      </c>
    </row>
    <row r="230" spans="1:6" x14ac:dyDescent="0.45">
      <c r="A230">
        <v>22</v>
      </c>
      <c r="B230" t="s">
        <v>102</v>
      </c>
      <c r="D230">
        <v>1</v>
      </c>
      <c r="E230" t="s">
        <v>365</v>
      </c>
      <c r="F230" s="4">
        <v>45185</v>
      </c>
    </row>
    <row r="231" spans="1:6" x14ac:dyDescent="0.45">
      <c r="B231" t="s">
        <v>102</v>
      </c>
    </row>
    <row r="232" spans="1:6" x14ac:dyDescent="0.45">
      <c r="A232">
        <v>23</v>
      </c>
      <c r="B232" t="s">
        <v>54</v>
      </c>
      <c r="D232">
        <v>4</v>
      </c>
      <c r="E232" t="s">
        <v>96</v>
      </c>
      <c r="F232" s="4">
        <v>44939</v>
      </c>
    </row>
    <row r="233" spans="1:6" x14ac:dyDescent="0.45">
      <c r="B233" t="s">
        <v>54</v>
      </c>
    </row>
    <row r="234" spans="1:6" x14ac:dyDescent="0.45">
      <c r="A234">
        <v>24</v>
      </c>
      <c r="B234" t="s">
        <v>220</v>
      </c>
      <c r="D234">
        <v>1</v>
      </c>
      <c r="E234" t="s">
        <v>587</v>
      </c>
      <c r="F234" t="s">
        <v>588</v>
      </c>
    </row>
    <row r="235" spans="1:6" x14ac:dyDescent="0.45">
      <c r="B235" t="s">
        <v>220</v>
      </c>
    </row>
    <row r="236" spans="1:6" x14ac:dyDescent="0.45">
      <c r="A236">
        <v>25</v>
      </c>
      <c r="B236" t="s">
        <v>139</v>
      </c>
      <c r="D236">
        <v>17</v>
      </c>
      <c r="E236" t="s">
        <v>589</v>
      </c>
      <c r="F236" s="4">
        <v>44984</v>
      </c>
    </row>
    <row r="237" spans="1:6" x14ac:dyDescent="0.45">
      <c r="B237" t="s">
        <v>139</v>
      </c>
    </row>
    <row r="238" spans="1:6" x14ac:dyDescent="0.45">
      <c r="A238">
        <v>26</v>
      </c>
      <c r="B238" t="s">
        <v>89</v>
      </c>
      <c r="D238">
        <v>1</v>
      </c>
      <c r="E238" t="s">
        <v>590</v>
      </c>
      <c r="F238" s="4">
        <v>44966</v>
      </c>
    </row>
    <row r="239" spans="1:6" x14ac:dyDescent="0.45">
      <c r="B239" t="s">
        <v>89</v>
      </c>
    </row>
    <row r="240" spans="1:6" x14ac:dyDescent="0.45">
      <c r="A240">
        <v>27</v>
      </c>
      <c r="B240" t="s">
        <v>522</v>
      </c>
      <c r="D240">
        <v>18</v>
      </c>
      <c r="E240" t="s">
        <v>591</v>
      </c>
      <c r="F240" s="4">
        <v>45037</v>
      </c>
    </row>
    <row r="241" spans="1:6" x14ac:dyDescent="0.45">
      <c r="B241" t="s">
        <v>522</v>
      </c>
    </row>
    <row r="242" spans="1:6" x14ac:dyDescent="0.45">
      <c r="A242">
        <v>28</v>
      </c>
      <c r="B242" t="s">
        <v>133</v>
      </c>
      <c r="D242">
        <v>19</v>
      </c>
      <c r="E242" t="s">
        <v>335</v>
      </c>
      <c r="F242" t="s">
        <v>549</v>
      </c>
    </row>
    <row r="243" spans="1:6" x14ac:dyDescent="0.45">
      <c r="B243" t="s">
        <v>133</v>
      </c>
    </row>
    <row r="244" spans="1:6" x14ac:dyDescent="0.45">
      <c r="A244">
        <v>29</v>
      </c>
      <c r="B244" t="s">
        <v>366</v>
      </c>
      <c r="D244">
        <v>20</v>
      </c>
      <c r="E244" t="s">
        <v>592</v>
      </c>
      <c r="F244" s="4">
        <v>45053</v>
      </c>
    </row>
    <row r="245" spans="1:6" x14ac:dyDescent="0.45">
      <c r="B245" t="s">
        <v>366</v>
      </c>
    </row>
    <row r="246" spans="1:6" x14ac:dyDescent="0.45">
      <c r="A246">
        <v>30</v>
      </c>
      <c r="B246" t="s">
        <v>151</v>
      </c>
      <c r="D246">
        <v>21</v>
      </c>
      <c r="E246" t="s">
        <v>593</v>
      </c>
      <c r="F246" s="4">
        <v>44939</v>
      </c>
    </row>
    <row r="247" spans="1:6" x14ac:dyDescent="0.45">
      <c r="B247" t="s">
        <v>151</v>
      </c>
    </row>
    <row r="249" spans="1:6" x14ac:dyDescent="0.45">
      <c r="A249" t="s">
        <v>527</v>
      </c>
      <c r="B249" t="s">
        <v>528</v>
      </c>
      <c r="D249" t="s">
        <v>489</v>
      </c>
      <c r="E249" t="s">
        <v>490</v>
      </c>
    </row>
    <row r="250" spans="1:6" x14ac:dyDescent="0.45">
      <c r="A250">
        <v>61</v>
      </c>
      <c r="B250" t="s">
        <v>463</v>
      </c>
      <c r="D250">
        <v>33</v>
      </c>
      <c r="E250" s="4">
        <v>45137</v>
      </c>
      <c r="F250" s="4">
        <v>44941</v>
      </c>
    </row>
    <row r="251" spans="1:6" x14ac:dyDescent="0.45">
      <c r="B251" t="s">
        <v>463</v>
      </c>
    </row>
    <row r="252" spans="1:6" x14ac:dyDescent="0.45">
      <c r="A252">
        <v>62</v>
      </c>
      <c r="B252" t="s">
        <v>594</v>
      </c>
      <c r="D252">
        <v>3</v>
      </c>
      <c r="E252" s="4">
        <v>45015</v>
      </c>
      <c r="F252" t="s">
        <v>542</v>
      </c>
    </row>
    <row r="253" spans="1:6" x14ac:dyDescent="0.45">
      <c r="B253" t="s">
        <v>594</v>
      </c>
    </row>
    <row r="254" spans="1:6" x14ac:dyDescent="0.45">
      <c r="A254">
        <v>62</v>
      </c>
      <c r="B254" t="s">
        <v>385</v>
      </c>
      <c r="D254">
        <v>5</v>
      </c>
      <c r="E254" s="4">
        <v>45015</v>
      </c>
      <c r="F254" t="s">
        <v>540</v>
      </c>
    </row>
    <row r="255" spans="1:6" x14ac:dyDescent="0.45">
      <c r="B255" t="s">
        <v>385</v>
      </c>
    </row>
    <row r="256" spans="1:6" x14ac:dyDescent="0.45">
      <c r="A256">
        <v>64</v>
      </c>
      <c r="B256" t="s">
        <v>595</v>
      </c>
      <c r="D256">
        <v>4</v>
      </c>
      <c r="E256" t="s">
        <v>596</v>
      </c>
      <c r="F256" t="s">
        <v>540</v>
      </c>
    </row>
    <row r="257" spans="1:6" x14ac:dyDescent="0.45">
      <c r="B257" t="s">
        <v>595</v>
      </c>
    </row>
    <row r="258" spans="1:6" x14ac:dyDescent="0.45">
      <c r="A258">
        <v>64</v>
      </c>
      <c r="B258" t="s">
        <v>471</v>
      </c>
      <c r="D258">
        <v>34</v>
      </c>
      <c r="E258" t="s">
        <v>596</v>
      </c>
      <c r="F258" s="4">
        <v>44940</v>
      </c>
    </row>
    <row r="259" spans="1:6" x14ac:dyDescent="0.45">
      <c r="B259" t="s">
        <v>471</v>
      </c>
    </row>
    <row r="260" spans="1:6" x14ac:dyDescent="0.45">
      <c r="A260">
        <v>66</v>
      </c>
      <c r="B260" t="s">
        <v>388</v>
      </c>
      <c r="D260">
        <v>2</v>
      </c>
      <c r="E260" s="4">
        <v>44956</v>
      </c>
      <c r="F260" s="4">
        <v>44939</v>
      </c>
    </row>
    <row r="261" spans="1:6" x14ac:dyDescent="0.45">
      <c r="B261" t="s">
        <v>388</v>
      </c>
    </row>
    <row r="262" spans="1:6" x14ac:dyDescent="0.45">
      <c r="A262">
        <v>67</v>
      </c>
      <c r="B262" t="s">
        <v>282</v>
      </c>
      <c r="D262">
        <v>6</v>
      </c>
      <c r="E262" t="s">
        <v>597</v>
      </c>
      <c r="F262" t="s">
        <v>540</v>
      </c>
    </row>
    <row r="263" spans="1:6" x14ac:dyDescent="0.45">
      <c r="B263" t="s">
        <v>282</v>
      </c>
    </row>
    <row r="264" spans="1:6" x14ac:dyDescent="0.45">
      <c r="A264">
        <v>67</v>
      </c>
      <c r="B264" t="s">
        <v>598</v>
      </c>
      <c r="D264">
        <v>1</v>
      </c>
      <c r="E264" t="s">
        <v>597</v>
      </c>
      <c r="F264" s="4">
        <v>45102</v>
      </c>
    </row>
    <row r="265" spans="1:6" x14ac:dyDescent="0.45">
      <c r="B265" t="s">
        <v>598</v>
      </c>
    </row>
    <row r="266" spans="1:6" x14ac:dyDescent="0.45">
      <c r="A266">
        <v>69</v>
      </c>
      <c r="B266" t="s">
        <v>599</v>
      </c>
      <c r="D266">
        <v>2</v>
      </c>
      <c r="E266" s="4">
        <v>45136</v>
      </c>
      <c r="F266" s="4">
        <v>45117</v>
      </c>
    </row>
    <row r="267" spans="1:6" x14ac:dyDescent="0.45">
      <c r="B267" t="s">
        <v>599</v>
      </c>
    </row>
    <row r="268" spans="1:6" x14ac:dyDescent="0.45">
      <c r="A268">
        <v>70</v>
      </c>
      <c r="B268" t="s">
        <v>600</v>
      </c>
      <c r="D268">
        <v>3</v>
      </c>
      <c r="E268" s="4">
        <v>45075</v>
      </c>
      <c r="F268" s="4">
        <v>45064</v>
      </c>
    </row>
    <row r="269" spans="1:6" x14ac:dyDescent="0.45">
      <c r="B269" t="s">
        <v>600</v>
      </c>
    </row>
    <row r="270" spans="1:6" x14ac:dyDescent="0.45">
      <c r="A270">
        <v>71</v>
      </c>
      <c r="B270" t="s">
        <v>110</v>
      </c>
      <c r="D270">
        <v>1</v>
      </c>
      <c r="E270" s="4">
        <v>45014</v>
      </c>
      <c r="F270" t="s">
        <v>540</v>
      </c>
    </row>
    <row r="271" spans="1:6" x14ac:dyDescent="0.45">
      <c r="B271" t="s">
        <v>110</v>
      </c>
    </row>
    <row r="272" spans="1:6" x14ac:dyDescent="0.45">
      <c r="A272">
        <v>71</v>
      </c>
      <c r="B272" t="s">
        <v>601</v>
      </c>
      <c r="D272">
        <v>35</v>
      </c>
      <c r="E272" s="4">
        <v>45014</v>
      </c>
      <c r="F272" t="s">
        <v>540</v>
      </c>
    </row>
    <row r="273" spans="1:6" x14ac:dyDescent="0.45">
      <c r="B273" t="s">
        <v>601</v>
      </c>
    </row>
    <row r="274" spans="1:6" x14ac:dyDescent="0.45">
      <c r="A274">
        <v>73</v>
      </c>
      <c r="B274" t="s">
        <v>253</v>
      </c>
      <c r="D274">
        <v>3</v>
      </c>
      <c r="E274" s="4">
        <v>44955</v>
      </c>
      <c r="F274" s="4">
        <v>45137</v>
      </c>
    </row>
    <row r="275" spans="1:6" x14ac:dyDescent="0.45">
      <c r="B275" t="s">
        <v>253</v>
      </c>
    </row>
    <row r="276" spans="1:6" x14ac:dyDescent="0.45">
      <c r="A276">
        <v>74</v>
      </c>
      <c r="B276" t="s">
        <v>602</v>
      </c>
      <c r="D276">
        <v>1</v>
      </c>
      <c r="E276" s="4">
        <v>45197</v>
      </c>
      <c r="F276" t="s">
        <v>540</v>
      </c>
    </row>
    <row r="277" spans="1:6" x14ac:dyDescent="0.45">
      <c r="B277" t="s">
        <v>602</v>
      </c>
    </row>
    <row r="278" spans="1:6" x14ac:dyDescent="0.45">
      <c r="A278">
        <v>75</v>
      </c>
      <c r="B278" t="s">
        <v>245</v>
      </c>
      <c r="D278">
        <v>5</v>
      </c>
      <c r="E278" s="4">
        <v>45044</v>
      </c>
      <c r="F278" t="s">
        <v>540</v>
      </c>
    </row>
    <row r="279" spans="1:6" x14ac:dyDescent="0.45">
      <c r="B279" t="s">
        <v>245</v>
      </c>
    </row>
    <row r="280" spans="1:6" x14ac:dyDescent="0.45">
      <c r="A280">
        <v>76</v>
      </c>
      <c r="B280" t="s">
        <v>443</v>
      </c>
      <c r="D280">
        <v>4</v>
      </c>
      <c r="E280" s="4">
        <v>44954</v>
      </c>
      <c r="F280" s="4">
        <v>44952</v>
      </c>
    </row>
    <row r="281" spans="1:6" x14ac:dyDescent="0.45">
      <c r="B281" t="s">
        <v>443</v>
      </c>
    </row>
    <row r="282" spans="1:6" x14ac:dyDescent="0.45">
      <c r="A282">
        <v>77</v>
      </c>
      <c r="B282" t="s">
        <v>603</v>
      </c>
      <c r="D282">
        <v>1</v>
      </c>
      <c r="E282" s="4">
        <v>45196</v>
      </c>
      <c r="F282" s="4">
        <v>45137</v>
      </c>
    </row>
    <row r="283" spans="1:6" x14ac:dyDescent="0.45">
      <c r="B283" t="s">
        <v>603</v>
      </c>
    </row>
    <row r="284" spans="1:6" x14ac:dyDescent="0.45">
      <c r="A284">
        <v>78</v>
      </c>
      <c r="B284" t="s">
        <v>604</v>
      </c>
      <c r="D284">
        <v>4</v>
      </c>
      <c r="E284" s="4">
        <v>45134</v>
      </c>
      <c r="F284" s="4">
        <v>44999</v>
      </c>
    </row>
    <row r="285" spans="1:6" x14ac:dyDescent="0.45">
      <c r="B285" t="s">
        <v>604</v>
      </c>
    </row>
    <row r="286" spans="1:6" x14ac:dyDescent="0.45">
      <c r="A286">
        <v>79</v>
      </c>
      <c r="B286" t="s">
        <v>605</v>
      </c>
      <c r="D286">
        <v>7</v>
      </c>
      <c r="E286" s="4">
        <v>45073</v>
      </c>
      <c r="F286" t="s">
        <v>540</v>
      </c>
    </row>
    <row r="287" spans="1:6" x14ac:dyDescent="0.45">
      <c r="B287" t="s">
        <v>605</v>
      </c>
    </row>
    <row r="288" spans="1:6" x14ac:dyDescent="0.45">
      <c r="A288">
        <v>79</v>
      </c>
      <c r="B288" t="s">
        <v>606</v>
      </c>
      <c r="D288">
        <v>6</v>
      </c>
      <c r="E288" s="4">
        <v>45073</v>
      </c>
      <c r="F288" s="4">
        <v>44939</v>
      </c>
    </row>
    <row r="289" spans="1:6" x14ac:dyDescent="0.45">
      <c r="B289" t="s">
        <v>606</v>
      </c>
    </row>
    <row r="290" spans="1:6" x14ac:dyDescent="0.45">
      <c r="A290">
        <v>81</v>
      </c>
      <c r="B290" t="s">
        <v>392</v>
      </c>
      <c r="D290">
        <v>8</v>
      </c>
      <c r="E290" s="4">
        <v>45043</v>
      </c>
      <c r="F290" s="4">
        <v>44990</v>
      </c>
    </row>
    <row r="291" spans="1:6" x14ac:dyDescent="0.45">
      <c r="B291" t="s">
        <v>392</v>
      </c>
    </row>
    <row r="292" spans="1:6" x14ac:dyDescent="0.45">
      <c r="A292">
        <v>82</v>
      </c>
      <c r="B292" t="s">
        <v>607</v>
      </c>
      <c r="D292">
        <v>36</v>
      </c>
      <c r="E292" s="4">
        <v>45012</v>
      </c>
      <c r="F292" s="4">
        <v>45185</v>
      </c>
    </row>
    <row r="293" spans="1:6" x14ac:dyDescent="0.45">
      <c r="B293" t="s">
        <v>607</v>
      </c>
    </row>
    <row r="294" spans="1:6" x14ac:dyDescent="0.45">
      <c r="A294">
        <v>83</v>
      </c>
      <c r="B294" t="s">
        <v>608</v>
      </c>
      <c r="D294">
        <v>37</v>
      </c>
      <c r="E294" s="4">
        <v>44984</v>
      </c>
      <c r="F294" s="4">
        <v>45180</v>
      </c>
    </row>
    <row r="295" spans="1:6" x14ac:dyDescent="0.45">
      <c r="B295" t="s">
        <v>608</v>
      </c>
    </row>
    <row r="296" spans="1:6" x14ac:dyDescent="0.45">
      <c r="A296">
        <v>83</v>
      </c>
      <c r="B296" t="s">
        <v>609</v>
      </c>
      <c r="D296" s="4">
        <v>44987</v>
      </c>
      <c r="E296" s="4">
        <v>44984</v>
      </c>
      <c r="F296" s="4">
        <v>45099</v>
      </c>
    </row>
    <row r="297" spans="1:6" x14ac:dyDescent="0.45">
      <c r="B297" t="s">
        <v>609</v>
      </c>
    </row>
    <row r="298" spans="1:6" x14ac:dyDescent="0.45">
      <c r="A298">
        <v>83</v>
      </c>
      <c r="B298" t="s">
        <v>610</v>
      </c>
      <c r="D298">
        <v>4</v>
      </c>
      <c r="E298" s="4">
        <v>44984</v>
      </c>
      <c r="F298" t="s">
        <v>611</v>
      </c>
    </row>
    <row r="299" spans="1:6" x14ac:dyDescent="0.45">
      <c r="B299" t="s">
        <v>610</v>
      </c>
    </row>
    <row r="300" spans="1:6" x14ac:dyDescent="0.45">
      <c r="A300">
        <v>83</v>
      </c>
      <c r="B300" t="s">
        <v>612</v>
      </c>
      <c r="D300" s="4">
        <v>44987</v>
      </c>
      <c r="E300" s="4">
        <v>44984</v>
      </c>
      <c r="F300" s="4">
        <v>45185</v>
      </c>
    </row>
    <row r="301" spans="1:6" x14ac:dyDescent="0.45">
      <c r="B301" t="s">
        <v>612</v>
      </c>
    </row>
    <row r="302" spans="1:6" x14ac:dyDescent="0.45">
      <c r="A302">
        <v>87</v>
      </c>
      <c r="B302" t="s">
        <v>408</v>
      </c>
      <c r="D302">
        <v>3</v>
      </c>
      <c r="E302" t="s">
        <v>613</v>
      </c>
      <c r="F302" s="4">
        <v>44940</v>
      </c>
    </row>
    <row r="303" spans="1:6" x14ac:dyDescent="0.45">
      <c r="B303" t="s">
        <v>408</v>
      </c>
    </row>
    <row r="304" spans="1:6" x14ac:dyDescent="0.45">
      <c r="A304">
        <v>88</v>
      </c>
      <c r="B304" t="s">
        <v>614</v>
      </c>
      <c r="D304">
        <v>2</v>
      </c>
      <c r="E304" s="4">
        <v>45195</v>
      </c>
      <c r="F304" t="s">
        <v>540</v>
      </c>
    </row>
    <row r="305" spans="1:6" x14ac:dyDescent="0.45">
      <c r="B305" t="s">
        <v>614</v>
      </c>
    </row>
    <row r="306" spans="1:6" x14ac:dyDescent="0.45">
      <c r="A306">
        <v>89</v>
      </c>
      <c r="B306" t="s">
        <v>615</v>
      </c>
      <c r="D306">
        <v>2</v>
      </c>
      <c r="E306" s="4">
        <v>45164</v>
      </c>
      <c r="F306" s="4">
        <v>44941</v>
      </c>
    </row>
    <row r="307" spans="1:6" x14ac:dyDescent="0.45">
      <c r="B307" t="s">
        <v>615</v>
      </c>
    </row>
    <row r="308" spans="1:6" x14ac:dyDescent="0.45">
      <c r="A308">
        <v>90</v>
      </c>
      <c r="B308" t="s">
        <v>428</v>
      </c>
      <c r="D308">
        <v>4</v>
      </c>
      <c r="E308" s="4">
        <v>45133</v>
      </c>
      <c r="F308" s="4">
        <v>45064</v>
      </c>
    </row>
    <row r="309" spans="1:6" x14ac:dyDescent="0.45">
      <c r="B309" t="s">
        <v>428</v>
      </c>
    </row>
    <row r="311" spans="1:6" x14ac:dyDescent="0.45">
      <c r="A311" t="s">
        <v>527</v>
      </c>
      <c r="B311" t="s">
        <v>528</v>
      </c>
      <c r="D311" t="s">
        <v>489</v>
      </c>
      <c r="E311" t="s">
        <v>490</v>
      </c>
    </row>
    <row r="312" spans="1:6" x14ac:dyDescent="0.45">
      <c r="A312">
        <v>90</v>
      </c>
      <c r="B312" t="s">
        <v>616</v>
      </c>
      <c r="D312">
        <v>3</v>
      </c>
      <c r="E312" s="4">
        <v>45133</v>
      </c>
      <c r="F312" s="4">
        <v>45037</v>
      </c>
    </row>
    <row r="313" spans="1:6" x14ac:dyDescent="0.45">
      <c r="B313" t="s">
        <v>616</v>
      </c>
    </row>
    <row r="314" spans="1:6" x14ac:dyDescent="0.45">
      <c r="A314">
        <v>92</v>
      </c>
      <c r="B314" t="s">
        <v>617</v>
      </c>
      <c r="D314">
        <v>5</v>
      </c>
      <c r="E314" s="4">
        <v>45072</v>
      </c>
      <c r="F314" s="4">
        <v>45117</v>
      </c>
    </row>
    <row r="315" spans="1:6" x14ac:dyDescent="0.45">
      <c r="B315" t="s">
        <v>617</v>
      </c>
    </row>
    <row r="316" spans="1:6" x14ac:dyDescent="0.45">
      <c r="A316">
        <v>92</v>
      </c>
      <c r="B316" t="s">
        <v>618</v>
      </c>
      <c r="D316">
        <v>1</v>
      </c>
      <c r="E316" s="4">
        <v>45072</v>
      </c>
      <c r="F316" t="s">
        <v>555</v>
      </c>
    </row>
    <row r="317" spans="1:6" x14ac:dyDescent="0.45">
      <c r="B317" t="s">
        <v>618</v>
      </c>
    </row>
    <row r="318" spans="1:6" x14ac:dyDescent="0.45">
      <c r="A318">
        <v>94</v>
      </c>
      <c r="B318" t="s">
        <v>619</v>
      </c>
      <c r="D318">
        <v>38</v>
      </c>
      <c r="E318" s="4">
        <v>45042</v>
      </c>
      <c r="F318" t="s">
        <v>555</v>
      </c>
    </row>
    <row r="319" spans="1:6" x14ac:dyDescent="0.45">
      <c r="B319" t="s">
        <v>619</v>
      </c>
    </row>
    <row r="320" spans="1:6" x14ac:dyDescent="0.45">
      <c r="A320">
        <v>95</v>
      </c>
      <c r="B320" t="s">
        <v>234</v>
      </c>
      <c r="D320">
        <v>2</v>
      </c>
      <c r="E320" s="4">
        <v>45011</v>
      </c>
      <c r="F320" t="s">
        <v>540</v>
      </c>
    </row>
    <row r="321" spans="1:6" x14ac:dyDescent="0.45">
      <c r="B321" t="s">
        <v>234</v>
      </c>
    </row>
    <row r="322" spans="1:6" x14ac:dyDescent="0.45">
      <c r="A322">
        <v>96</v>
      </c>
      <c r="B322" t="s">
        <v>620</v>
      </c>
      <c r="D322">
        <v>8</v>
      </c>
      <c r="E322" s="4">
        <v>44952</v>
      </c>
      <c r="F322" t="s">
        <v>540</v>
      </c>
    </row>
    <row r="323" spans="1:6" x14ac:dyDescent="0.45">
      <c r="B323" t="s">
        <v>620</v>
      </c>
    </row>
    <row r="324" spans="1:6" x14ac:dyDescent="0.45">
      <c r="A324">
        <v>96</v>
      </c>
      <c r="B324" t="s">
        <v>621</v>
      </c>
      <c r="D324">
        <v>1</v>
      </c>
      <c r="E324" s="4">
        <v>44952</v>
      </c>
      <c r="F324" t="s">
        <v>540</v>
      </c>
    </row>
    <row r="325" spans="1:6" x14ac:dyDescent="0.45">
      <c r="B325" t="s">
        <v>621</v>
      </c>
    </row>
    <row r="326" spans="1:6" x14ac:dyDescent="0.45">
      <c r="A326">
        <v>98</v>
      </c>
      <c r="B326" t="s">
        <v>306</v>
      </c>
      <c r="D326">
        <v>1</v>
      </c>
      <c r="E326" s="4">
        <v>45194</v>
      </c>
      <c r="F326" t="s">
        <v>540</v>
      </c>
    </row>
    <row r="327" spans="1:6" x14ac:dyDescent="0.45">
      <c r="B327" t="s">
        <v>306</v>
      </c>
    </row>
    <row r="328" spans="1:6" x14ac:dyDescent="0.45">
      <c r="A328">
        <v>99</v>
      </c>
      <c r="B328" t="s">
        <v>332</v>
      </c>
      <c r="D328">
        <v>39</v>
      </c>
      <c r="E328" s="4">
        <v>45163</v>
      </c>
      <c r="F328" s="4">
        <v>45127</v>
      </c>
    </row>
    <row r="329" spans="1:6" x14ac:dyDescent="0.45">
      <c r="B329" t="s">
        <v>332</v>
      </c>
    </row>
    <row r="330" spans="1:6" x14ac:dyDescent="0.45">
      <c r="A330">
        <v>99</v>
      </c>
      <c r="B330" t="s">
        <v>622</v>
      </c>
      <c r="D330">
        <v>7</v>
      </c>
      <c r="E330" s="4">
        <v>45163</v>
      </c>
      <c r="F330" t="s">
        <v>532</v>
      </c>
    </row>
    <row r="331" spans="1:6" x14ac:dyDescent="0.45">
      <c r="B331" t="s">
        <v>622</v>
      </c>
    </row>
    <row r="332" spans="1:6" x14ac:dyDescent="0.45">
      <c r="A332" t="s">
        <v>623</v>
      </c>
      <c r="B332" t="s">
        <v>624</v>
      </c>
      <c r="D332" s="4">
        <v>45112</v>
      </c>
      <c r="F332" s="4">
        <v>45180</v>
      </c>
    </row>
    <row r="333" spans="1:6" x14ac:dyDescent="0.45">
      <c r="B333" t="s">
        <v>624</v>
      </c>
    </row>
    <row r="334" spans="1:6" x14ac:dyDescent="0.45">
      <c r="A334" t="s">
        <v>623</v>
      </c>
      <c r="B334" t="s">
        <v>625</v>
      </c>
      <c r="D334" t="s">
        <v>626</v>
      </c>
      <c r="F334" t="s">
        <v>540</v>
      </c>
    </row>
    <row r="335" spans="1:6" x14ac:dyDescent="0.45">
      <c r="B335" t="s">
        <v>625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EEE99-EDF4-47F2-9BF9-BD531700C2BB}">
  <dimension ref="A1:Y173"/>
  <sheetViews>
    <sheetView topLeftCell="A123" workbookViewId="0">
      <selection sqref="A1:G173"/>
    </sheetView>
  </sheetViews>
  <sheetFormatPr defaultRowHeight="14.25" outlineLevelCol="1" x14ac:dyDescent="0.45"/>
  <cols>
    <col min="2" max="2" width="46.86328125" customWidth="1"/>
    <col min="19" max="25" width="9.06640625" outlineLevel="1"/>
  </cols>
  <sheetData>
    <row r="1" spans="1:7" x14ac:dyDescent="0.45">
      <c r="A1" t="s">
        <v>905</v>
      </c>
    </row>
    <row r="2" spans="1:7" ht="85.5" x14ac:dyDescent="0.45">
      <c r="A2" s="23" t="s">
        <v>907</v>
      </c>
      <c r="B2" s="23" t="s">
        <v>906</v>
      </c>
      <c r="C2" s="23" t="s">
        <v>908</v>
      </c>
      <c r="D2" s="23" t="s">
        <v>909</v>
      </c>
      <c r="E2" s="23" t="s">
        <v>910</v>
      </c>
      <c r="F2" s="23" t="s">
        <v>911</v>
      </c>
      <c r="G2" s="23" t="s">
        <v>912</v>
      </c>
    </row>
    <row r="3" spans="1:7" x14ac:dyDescent="0.45">
      <c r="A3" s="24">
        <v>1</v>
      </c>
      <c r="B3" s="24" t="s">
        <v>8</v>
      </c>
      <c r="C3" s="24">
        <v>9</v>
      </c>
      <c r="D3" s="24">
        <v>2</v>
      </c>
      <c r="E3" s="24">
        <v>1</v>
      </c>
      <c r="F3" s="24">
        <v>5</v>
      </c>
      <c r="G3" s="24">
        <v>1</v>
      </c>
    </row>
    <row r="4" spans="1:7" x14ac:dyDescent="0.45">
      <c r="A4" s="24">
        <v>2</v>
      </c>
      <c r="B4" s="24" t="s">
        <v>21</v>
      </c>
      <c r="C4" s="24">
        <v>10</v>
      </c>
      <c r="D4" s="24">
        <v>3</v>
      </c>
      <c r="E4" s="24">
        <v>2</v>
      </c>
      <c r="F4" s="24">
        <v>3</v>
      </c>
      <c r="G4" s="24">
        <v>2</v>
      </c>
    </row>
    <row r="5" spans="1:7" x14ac:dyDescent="0.45">
      <c r="A5" s="24">
        <v>3</v>
      </c>
      <c r="B5" s="24" t="s">
        <v>27</v>
      </c>
      <c r="C5" s="24">
        <v>12</v>
      </c>
      <c r="D5" s="24">
        <v>5</v>
      </c>
      <c r="E5" s="24">
        <v>3</v>
      </c>
      <c r="F5" s="24">
        <v>1</v>
      </c>
      <c r="G5" s="24">
        <v>3</v>
      </c>
    </row>
    <row r="6" spans="1:7" x14ac:dyDescent="0.45">
      <c r="A6" s="24">
        <v>4</v>
      </c>
      <c r="B6" s="24" t="s">
        <v>0</v>
      </c>
      <c r="C6" s="24">
        <v>17</v>
      </c>
      <c r="D6" s="24">
        <v>1</v>
      </c>
      <c r="E6" s="24">
        <v>7</v>
      </c>
      <c r="F6" s="24">
        <v>4</v>
      </c>
      <c r="G6" s="24">
        <v>5</v>
      </c>
    </row>
    <row r="7" spans="1:7" x14ac:dyDescent="0.45">
      <c r="A7" s="24">
        <v>5</v>
      </c>
      <c r="B7" s="24" t="s">
        <v>15</v>
      </c>
      <c r="C7" s="24">
        <v>21</v>
      </c>
      <c r="D7" s="24">
        <v>3</v>
      </c>
      <c r="E7" s="24">
        <v>4</v>
      </c>
      <c r="F7" s="24">
        <v>2</v>
      </c>
      <c r="G7" s="24">
        <v>12</v>
      </c>
    </row>
    <row r="8" spans="1:7" x14ac:dyDescent="0.45">
      <c r="A8" s="24">
        <v>6</v>
      </c>
      <c r="B8" s="24" t="s">
        <v>792</v>
      </c>
      <c r="C8" s="24">
        <v>44</v>
      </c>
      <c r="D8" s="24">
        <v>8</v>
      </c>
      <c r="E8" s="24">
        <v>5</v>
      </c>
      <c r="F8" s="24">
        <v>27</v>
      </c>
      <c r="G8" s="24">
        <v>4</v>
      </c>
    </row>
    <row r="9" spans="1:7" x14ac:dyDescent="0.45">
      <c r="A9" s="24">
        <v>7</v>
      </c>
      <c r="B9" s="24" t="s">
        <v>61</v>
      </c>
      <c r="C9" s="24">
        <v>50</v>
      </c>
      <c r="D9" s="24">
        <v>11</v>
      </c>
      <c r="E9" s="24">
        <v>8</v>
      </c>
      <c r="F9" s="24">
        <v>22</v>
      </c>
      <c r="G9" s="24">
        <v>9</v>
      </c>
    </row>
    <row r="10" spans="1:7" x14ac:dyDescent="0.45">
      <c r="A10" s="24">
        <v>8</v>
      </c>
      <c r="B10" s="24" t="s">
        <v>48</v>
      </c>
      <c r="C10" s="24">
        <v>52</v>
      </c>
      <c r="D10" s="24">
        <v>9</v>
      </c>
      <c r="E10" s="24">
        <v>11</v>
      </c>
      <c r="F10" s="24">
        <v>18</v>
      </c>
      <c r="G10" s="24">
        <v>14</v>
      </c>
    </row>
    <row r="11" spans="1:7" x14ac:dyDescent="0.45">
      <c r="A11" s="24">
        <v>9</v>
      </c>
      <c r="B11" s="24" t="s">
        <v>79</v>
      </c>
      <c r="C11" s="24">
        <v>53</v>
      </c>
      <c r="D11" s="24">
        <v>14</v>
      </c>
      <c r="E11" s="24">
        <v>15</v>
      </c>
      <c r="F11" s="24">
        <v>13</v>
      </c>
      <c r="G11" s="24">
        <v>11</v>
      </c>
    </row>
    <row r="12" spans="1:7" x14ac:dyDescent="0.45">
      <c r="A12" s="24">
        <v>10</v>
      </c>
      <c r="B12" s="24" t="s">
        <v>36</v>
      </c>
      <c r="C12" s="24">
        <v>55</v>
      </c>
      <c r="D12" s="24">
        <v>7</v>
      </c>
      <c r="E12" s="24">
        <v>6</v>
      </c>
      <c r="F12" s="24">
        <v>16</v>
      </c>
      <c r="G12" s="24">
        <v>26</v>
      </c>
    </row>
    <row r="13" spans="1:7" x14ac:dyDescent="0.45">
      <c r="A13" s="24">
        <v>11</v>
      </c>
      <c r="B13" s="24" t="s">
        <v>118</v>
      </c>
      <c r="C13" s="24">
        <v>60</v>
      </c>
      <c r="D13" s="24">
        <v>20</v>
      </c>
      <c r="E13" s="24">
        <v>12</v>
      </c>
      <c r="F13" s="24">
        <v>20</v>
      </c>
      <c r="G13" s="24">
        <v>8</v>
      </c>
    </row>
    <row r="14" spans="1:7" x14ac:dyDescent="0.45">
      <c r="A14" s="24">
        <v>12</v>
      </c>
      <c r="B14" s="24" t="s">
        <v>501</v>
      </c>
      <c r="C14" s="24">
        <v>62</v>
      </c>
      <c r="D14" s="24">
        <v>13</v>
      </c>
      <c r="E14" s="24">
        <v>10</v>
      </c>
      <c r="F14" s="24">
        <v>10</v>
      </c>
      <c r="G14" s="24">
        <v>29</v>
      </c>
    </row>
    <row r="15" spans="1:7" x14ac:dyDescent="0.45">
      <c r="A15" s="24">
        <v>13</v>
      </c>
      <c r="B15" s="24" t="s">
        <v>83</v>
      </c>
      <c r="C15" s="24">
        <v>63</v>
      </c>
      <c r="D15" s="24">
        <v>15</v>
      </c>
      <c r="E15" s="24">
        <v>14</v>
      </c>
      <c r="F15" s="24">
        <v>24</v>
      </c>
      <c r="G15" s="24">
        <v>10</v>
      </c>
    </row>
    <row r="16" spans="1:7" x14ac:dyDescent="0.45">
      <c r="A16" s="24">
        <v>14</v>
      </c>
      <c r="B16" s="24" t="s">
        <v>796</v>
      </c>
      <c r="C16" s="24">
        <v>63</v>
      </c>
      <c r="D16" s="24">
        <v>22</v>
      </c>
      <c r="E16" s="24">
        <v>18</v>
      </c>
      <c r="F16" s="24">
        <v>8</v>
      </c>
      <c r="G16" s="24">
        <v>15</v>
      </c>
    </row>
    <row r="17" spans="1:7" x14ac:dyDescent="0.45">
      <c r="A17" s="24">
        <v>15</v>
      </c>
      <c r="B17" s="24" t="s">
        <v>67</v>
      </c>
      <c r="C17" s="24">
        <v>70</v>
      </c>
      <c r="D17" s="24">
        <v>11</v>
      </c>
      <c r="E17" s="24">
        <v>20</v>
      </c>
      <c r="F17" s="24">
        <v>9</v>
      </c>
      <c r="G17" s="24">
        <v>30</v>
      </c>
    </row>
    <row r="18" spans="1:7" x14ac:dyDescent="0.45">
      <c r="A18" s="24">
        <v>16</v>
      </c>
      <c r="B18" s="24" t="s">
        <v>54</v>
      </c>
      <c r="C18" s="24">
        <v>74</v>
      </c>
      <c r="D18" s="24">
        <v>10</v>
      </c>
      <c r="E18" s="24">
        <v>23</v>
      </c>
      <c r="F18" s="24">
        <v>6</v>
      </c>
      <c r="G18" s="24">
        <v>35</v>
      </c>
    </row>
    <row r="19" spans="1:7" x14ac:dyDescent="0.45">
      <c r="A19" s="24">
        <v>17</v>
      </c>
      <c r="B19" s="24" t="s">
        <v>31</v>
      </c>
      <c r="C19" s="24">
        <v>80</v>
      </c>
      <c r="D19" s="24">
        <v>6</v>
      </c>
      <c r="E19" s="24">
        <v>9</v>
      </c>
      <c r="F19" s="24">
        <v>6</v>
      </c>
      <c r="G19" s="24">
        <v>59</v>
      </c>
    </row>
    <row r="20" spans="1:7" x14ac:dyDescent="0.45">
      <c r="A20" s="24">
        <v>18</v>
      </c>
      <c r="B20" s="24" t="s">
        <v>89</v>
      </c>
      <c r="C20" s="24">
        <v>80</v>
      </c>
      <c r="D20" s="24">
        <v>16</v>
      </c>
      <c r="E20" s="24">
        <v>26</v>
      </c>
      <c r="F20" s="24">
        <v>14</v>
      </c>
      <c r="G20" s="24">
        <v>24</v>
      </c>
    </row>
    <row r="21" spans="1:7" x14ac:dyDescent="0.45">
      <c r="A21" s="24">
        <v>19</v>
      </c>
      <c r="B21" s="24" t="s">
        <v>133</v>
      </c>
      <c r="C21" s="24">
        <v>82</v>
      </c>
      <c r="D21" s="24">
        <v>23</v>
      </c>
      <c r="E21" s="24">
        <v>28</v>
      </c>
      <c r="F21" s="24">
        <v>25</v>
      </c>
      <c r="G21" s="24">
        <v>6</v>
      </c>
    </row>
    <row r="22" spans="1:7" x14ac:dyDescent="0.45">
      <c r="A22" s="24">
        <v>20</v>
      </c>
      <c r="B22" s="24" t="s">
        <v>102</v>
      </c>
      <c r="C22" s="24">
        <v>90</v>
      </c>
      <c r="D22" s="24">
        <v>18</v>
      </c>
      <c r="E22" s="24">
        <v>22</v>
      </c>
      <c r="F22" s="24">
        <v>34</v>
      </c>
      <c r="G22" s="24">
        <v>16</v>
      </c>
    </row>
    <row r="23" spans="1:7" x14ac:dyDescent="0.45">
      <c r="A23" s="24">
        <v>21</v>
      </c>
      <c r="B23" s="24" t="s">
        <v>795</v>
      </c>
      <c r="C23" s="24">
        <v>91</v>
      </c>
      <c r="D23" s="24">
        <v>21</v>
      </c>
      <c r="E23" s="24">
        <v>13</v>
      </c>
      <c r="F23" s="24">
        <v>44</v>
      </c>
      <c r="G23" s="24">
        <v>13</v>
      </c>
    </row>
    <row r="24" spans="1:7" x14ac:dyDescent="0.45">
      <c r="A24" s="24">
        <v>22</v>
      </c>
      <c r="B24" s="24" t="s">
        <v>97</v>
      </c>
      <c r="C24" s="24">
        <v>95</v>
      </c>
      <c r="D24" s="24">
        <v>17</v>
      </c>
      <c r="E24" s="24">
        <v>34</v>
      </c>
      <c r="F24" s="24">
        <v>12</v>
      </c>
      <c r="G24" s="24">
        <v>32</v>
      </c>
    </row>
    <row r="25" spans="1:7" x14ac:dyDescent="0.45">
      <c r="A25" s="24">
        <v>23</v>
      </c>
      <c r="B25" s="24" t="s">
        <v>151</v>
      </c>
      <c r="C25" s="24">
        <v>110</v>
      </c>
      <c r="D25" s="24">
        <v>26</v>
      </c>
      <c r="E25" s="24">
        <v>30</v>
      </c>
      <c r="F25" s="24">
        <v>32</v>
      </c>
      <c r="G25" s="24">
        <v>22</v>
      </c>
    </row>
    <row r="26" spans="1:7" x14ac:dyDescent="0.45">
      <c r="A26" s="24">
        <v>24</v>
      </c>
      <c r="B26" s="24" t="s">
        <v>139</v>
      </c>
      <c r="C26" s="24">
        <v>111</v>
      </c>
      <c r="D26" s="24">
        <v>24</v>
      </c>
      <c r="E26" s="24">
        <v>25</v>
      </c>
      <c r="F26" s="24">
        <v>39</v>
      </c>
      <c r="G26" s="24">
        <v>23</v>
      </c>
    </row>
    <row r="27" spans="1:7" x14ac:dyDescent="0.45">
      <c r="A27" s="24">
        <v>25</v>
      </c>
      <c r="B27" s="24" t="s">
        <v>797</v>
      </c>
      <c r="C27" s="24">
        <v>123</v>
      </c>
      <c r="D27" s="24">
        <v>32</v>
      </c>
      <c r="E27" s="24">
        <v>21</v>
      </c>
      <c r="F27" s="24">
        <v>53</v>
      </c>
      <c r="G27" s="24">
        <v>17</v>
      </c>
    </row>
    <row r="28" spans="1:7" x14ac:dyDescent="0.45">
      <c r="A28" s="24">
        <v>26</v>
      </c>
      <c r="B28" s="24" t="s">
        <v>169</v>
      </c>
      <c r="C28" s="24">
        <v>123</v>
      </c>
      <c r="D28" s="24">
        <v>29</v>
      </c>
      <c r="E28" s="24">
        <v>35</v>
      </c>
      <c r="F28" s="24">
        <v>15</v>
      </c>
      <c r="G28" s="24">
        <v>44</v>
      </c>
    </row>
    <row r="29" spans="1:7" x14ac:dyDescent="0.45">
      <c r="A29" s="24">
        <v>27</v>
      </c>
      <c r="B29" s="24" t="s">
        <v>145</v>
      </c>
      <c r="C29" s="24">
        <v>127</v>
      </c>
      <c r="D29" s="24">
        <v>25</v>
      </c>
      <c r="E29" s="24">
        <v>31</v>
      </c>
      <c r="F29" s="24">
        <v>50</v>
      </c>
      <c r="G29" s="24">
        <v>21</v>
      </c>
    </row>
    <row r="30" spans="1:7" x14ac:dyDescent="0.45">
      <c r="A30" s="24">
        <v>28</v>
      </c>
      <c r="B30" s="24" t="s">
        <v>157</v>
      </c>
      <c r="C30" s="24">
        <v>130</v>
      </c>
      <c r="D30" s="24">
        <v>26</v>
      </c>
      <c r="E30" s="24">
        <v>17</v>
      </c>
      <c r="F30" s="24">
        <v>80</v>
      </c>
      <c r="G30" s="24">
        <v>7</v>
      </c>
    </row>
    <row r="31" spans="1:7" x14ac:dyDescent="0.45">
      <c r="A31" s="24">
        <v>29</v>
      </c>
      <c r="B31" s="24" t="s">
        <v>194</v>
      </c>
      <c r="C31" s="24">
        <v>139</v>
      </c>
      <c r="D31" s="24">
        <v>34</v>
      </c>
      <c r="E31" s="24">
        <v>32</v>
      </c>
      <c r="F31" s="24">
        <v>33</v>
      </c>
      <c r="G31" s="24">
        <v>40</v>
      </c>
    </row>
    <row r="32" spans="1:7" x14ac:dyDescent="0.45">
      <c r="A32" s="24">
        <v>30</v>
      </c>
      <c r="B32" s="24" t="s">
        <v>110</v>
      </c>
      <c r="C32" s="24">
        <v>148</v>
      </c>
      <c r="D32" s="24">
        <v>19</v>
      </c>
      <c r="E32" s="24">
        <v>71</v>
      </c>
      <c r="F32" s="24">
        <v>11</v>
      </c>
      <c r="G32" s="24">
        <v>47</v>
      </c>
    </row>
    <row r="33" spans="1:7" x14ac:dyDescent="0.45">
      <c r="A33" s="24">
        <v>31</v>
      </c>
      <c r="B33" s="24" t="s">
        <v>854</v>
      </c>
      <c r="C33" s="24">
        <v>152</v>
      </c>
      <c r="D33" s="24">
        <v>39</v>
      </c>
      <c r="E33" s="24">
        <v>24</v>
      </c>
      <c r="F33" s="24">
        <v>23</v>
      </c>
      <c r="G33" s="24">
        <v>66</v>
      </c>
    </row>
    <row r="34" spans="1:7" x14ac:dyDescent="0.45">
      <c r="A34" s="24">
        <v>32</v>
      </c>
      <c r="B34" s="24" t="s">
        <v>225</v>
      </c>
      <c r="C34" s="24">
        <v>158</v>
      </c>
      <c r="D34" s="24">
        <v>40</v>
      </c>
      <c r="E34" s="24">
        <v>44</v>
      </c>
      <c r="F34" s="24">
        <v>47</v>
      </c>
      <c r="G34" s="24">
        <v>27</v>
      </c>
    </row>
    <row r="35" spans="1:7" x14ac:dyDescent="0.45">
      <c r="A35" s="24">
        <v>33</v>
      </c>
      <c r="B35" s="24" t="s">
        <v>296</v>
      </c>
      <c r="C35" s="24">
        <v>181</v>
      </c>
      <c r="D35" s="24">
        <v>54</v>
      </c>
      <c r="E35" s="24">
        <v>38</v>
      </c>
      <c r="F35" s="24">
        <v>28</v>
      </c>
      <c r="G35" s="24">
        <v>61</v>
      </c>
    </row>
    <row r="36" spans="1:7" x14ac:dyDescent="0.45">
      <c r="A36" s="24">
        <v>34</v>
      </c>
      <c r="B36" s="24" t="s">
        <v>276</v>
      </c>
      <c r="C36" s="24">
        <v>184</v>
      </c>
      <c r="D36" s="24">
        <v>50</v>
      </c>
      <c r="E36" s="24">
        <v>37</v>
      </c>
      <c r="F36" s="24">
        <v>72</v>
      </c>
      <c r="G36" s="24">
        <v>25</v>
      </c>
    </row>
    <row r="37" spans="1:7" x14ac:dyDescent="0.45">
      <c r="A37" s="24">
        <v>35</v>
      </c>
      <c r="B37" s="24" t="s">
        <v>199</v>
      </c>
      <c r="C37" s="24">
        <v>187</v>
      </c>
      <c r="D37" s="24">
        <v>35</v>
      </c>
      <c r="E37" s="24">
        <v>48</v>
      </c>
      <c r="F37" s="24">
        <v>37</v>
      </c>
      <c r="G37" s="24">
        <v>67</v>
      </c>
    </row>
    <row r="38" spans="1:7" x14ac:dyDescent="0.45">
      <c r="A38" s="24">
        <v>36</v>
      </c>
      <c r="B38" s="24" t="s">
        <v>816</v>
      </c>
      <c r="C38" s="24">
        <v>202</v>
      </c>
      <c r="D38" s="24">
        <v>53</v>
      </c>
      <c r="E38" s="24">
        <v>47</v>
      </c>
      <c r="F38" s="24">
        <v>50</v>
      </c>
      <c r="G38" s="24">
        <v>52</v>
      </c>
    </row>
    <row r="39" spans="1:7" x14ac:dyDescent="0.45">
      <c r="A39" s="24">
        <v>37</v>
      </c>
      <c r="B39" s="24" t="s">
        <v>572</v>
      </c>
      <c r="C39" s="24">
        <v>205</v>
      </c>
      <c r="D39" s="24">
        <v>54</v>
      </c>
      <c r="E39" s="24">
        <v>60</v>
      </c>
      <c r="F39" s="24">
        <v>41</v>
      </c>
      <c r="G39" s="24">
        <v>50</v>
      </c>
    </row>
    <row r="40" spans="1:7" x14ac:dyDescent="0.45">
      <c r="A40" s="24">
        <v>38</v>
      </c>
      <c r="B40" s="24" t="s">
        <v>253</v>
      </c>
      <c r="C40" s="24">
        <v>210</v>
      </c>
      <c r="D40" s="24">
        <v>46</v>
      </c>
      <c r="E40" s="24">
        <v>73</v>
      </c>
      <c r="F40" s="24">
        <v>31</v>
      </c>
      <c r="G40" s="24">
        <v>60</v>
      </c>
    </row>
    <row r="41" spans="1:7" x14ac:dyDescent="0.45">
      <c r="A41" s="24">
        <v>39</v>
      </c>
      <c r="B41" s="24" t="s">
        <v>355</v>
      </c>
      <c r="C41" s="24">
        <v>213</v>
      </c>
      <c r="D41" s="24">
        <v>67</v>
      </c>
      <c r="E41" s="24">
        <v>36</v>
      </c>
      <c r="F41" s="24">
        <v>42</v>
      </c>
      <c r="G41" s="24">
        <v>68</v>
      </c>
    </row>
    <row r="42" spans="1:7" x14ac:dyDescent="0.45">
      <c r="A42" s="24">
        <v>40</v>
      </c>
      <c r="B42" s="24" t="s">
        <v>266</v>
      </c>
      <c r="C42" s="24">
        <v>215</v>
      </c>
      <c r="D42" s="24">
        <v>48</v>
      </c>
      <c r="E42" s="24">
        <v>49</v>
      </c>
      <c r="F42" s="24">
        <v>85</v>
      </c>
      <c r="G42" s="24">
        <v>33</v>
      </c>
    </row>
    <row r="43" spans="1:7" x14ac:dyDescent="0.45">
      <c r="A43" s="24">
        <v>41</v>
      </c>
      <c r="B43" s="24" t="s">
        <v>412</v>
      </c>
      <c r="C43" s="24">
        <v>217</v>
      </c>
      <c r="D43" s="24">
        <v>81</v>
      </c>
      <c r="E43" s="24">
        <v>33</v>
      </c>
      <c r="F43" s="24">
        <v>83</v>
      </c>
      <c r="G43" s="24">
        <v>20</v>
      </c>
    </row>
    <row r="44" spans="1:7" x14ac:dyDescent="0.45">
      <c r="A44" s="24">
        <v>42</v>
      </c>
      <c r="B44" s="24" t="s">
        <v>286</v>
      </c>
      <c r="C44" s="24">
        <v>221</v>
      </c>
      <c r="D44" s="24">
        <v>52</v>
      </c>
      <c r="E44" s="24">
        <v>54</v>
      </c>
      <c r="F44" s="24">
        <v>46</v>
      </c>
      <c r="G44" s="24">
        <v>69</v>
      </c>
    </row>
    <row r="45" spans="1:7" x14ac:dyDescent="0.45">
      <c r="A45" s="24">
        <v>43</v>
      </c>
      <c r="B45" s="24" t="s">
        <v>810</v>
      </c>
      <c r="C45" s="24">
        <v>221</v>
      </c>
      <c r="D45" s="24">
        <v>71</v>
      </c>
      <c r="E45" s="24">
        <v>64</v>
      </c>
      <c r="F45" s="24">
        <v>45</v>
      </c>
      <c r="G45" s="24">
        <v>41</v>
      </c>
    </row>
    <row r="46" spans="1:7" x14ac:dyDescent="0.45">
      <c r="A46" s="24">
        <v>44</v>
      </c>
      <c r="B46" s="24" t="s">
        <v>179</v>
      </c>
      <c r="C46" s="24">
        <v>223</v>
      </c>
      <c r="D46" s="24">
        <v>31</v>
      </c>
      <c r="E46" s="24">
        <v>96</v>
      </c>
      <c r="F46" s="24">
        <v>21</v>
      </c>
      <c r="G46" s="24">
        <v>75</v>
      </c>
    </row>
    <row r="47" spans="1:7" x14ac:dyDescent="0.45">
      <c r="A47" s="24">
        <v>45</v>
      </c>
      <c r="B47" s="24" t="s">
        <v>614</v>
      </c>
      <c r="C47" s="24">
        <v>230</v>
      </c>
      <c r="D47" s="24">
        <v>36</v>
      </c>
      <c r="E47" s="24">
        <v>88</v>
      </c>
      <c r="F47" s="24">
        <v>19</v>
      </c>
      <c r="G47" s="24">
        <v>87</v>
      </c>
    </row>
    <row r="48" spans="1:7" x14ac:dyDescent="0.45">
      <c r="A48" s="24">
        <v>46</v>
      </c>
      <c r="B48" s="24" t="s">
        <v>245</v>
      </c>
      <c r="C48" s="24">
        <v>233</v>
      </c>
      <c r="D48" s="24">
        <v>44</v>
      </c>
      <c r="E48" s="24">
        <v>75</v>
      </c>
      <c r="F48" s="24">
        <v>57</v>
      </c>
      <c r="G48" s="24">
        <v>57</v>
      </c>
    </row>
    <row r="49" spans="1:7" x14ac:dyDescent="0.45">
      <c r="A49" s="24">
        <v>47</v>
      </c>
      <c r="B49" s="24" t="s">
        <v>337</v>
      </c>
      <c r="C49" s="24">
        <v>250</v>
      </c>
      <c r="D49" s="24">
        <v>62</v>
      </c>
      <c r="E49" s="24">
        <v>79</v>
      </c>
      <c r="F49" s="24">
        <v>30</v>
      </c>
      <c r="G49" s="24">
        <v>79</v>
      </c>
    </row>
    <row r="50" spans="1:7" x14ac:dyDescent="0.45">
      <c r="A50" s="24">
        <v>48</v>
      </c>
      <c r="B50" s="24" t="s">
        <v>306</v>
      </c>
      <c r="C50" s="24">
        <v>279</v>
      </c>
      <c r="D50" s="24">
        <v>56</v>
      </c>
      <c r="E50" s="24">
        <v>98</v>
      </c>
      <c r="F50" s="24">
        <v>29</v>
      </c>
      <c r="G50" s="24">
        <v>96</v>
      </c>
    </row>
    <row r="51" spans="1:7" x14ac:dyDescent="0.45">
      <c r="A51" s="24">
        <v>49</v>
      </c>
      <c r="B51" s="24" t="s">
        <v>332</v>
      </c>
      <c r="C51" s="24">
        <v>303</v>
      </c>
      <c r="D51" s="24">
        <v>61</v>
      </c>
      <c r="E51" s="24">
        <v>99</v>
      </c>
      <c r="F51" s="24">
        <v>63</v>
      </c>
      <c r="G51" s="24">
        <v>80</v>
      </c>
    </row>
    <row r="52" spans="1:7" x14ac:dyDescent="0.45">
      <c r="A52" s="24">
        <v>50</v>
      </c>
      <c r="B52" s="24" t="s">
        <v>425</v>
      </c>
      <c r="C52" s="24">
        <v>316</v>
      </c>
      <c r="D52" s="24">
        <v>82</v>
      </c>
      <c r="E52" s="24">
        <v>59</v>
      </c>
      <c r="F52" s="24">
        <v>83</v>
      </c>
      <c r="G52" s="24">
        <v>92</v>
      </c>
    </row>
    <row r="53" spans="1:7" x14ac:dyDescent="0.45">
      <c r="A53" s="24">
        <v>51</v>
      </c>
      <c r="B53" s="24" t="s">
        <v>385</v>
      </c>
      <c r="C53" s="24">
        <v>325</v>
      </c>
      <c r="D53" s="24">
        <v>74</v>
      </c>
      <c r="E53" s="24">
        <v>62</v>
      </c>
      <c r="F53" s="24">
        <v>94</v>
      </c>
      <c r="G53" s="24">
        <v>95</v>
      </c>
    </row>
    <row r="54" spans="1:7" x14ac:dyDescent="0.45">
      <c r="A54" s="24">
        <v>52</v>
      </c>
      <c r="B54" s="24" t="s">
        <v>663</v>
      </c>
      <c r="C54" s="24">
        <v>363</v>
      </c>
      <c r="D54" s="24">
        <v>47</v>
      </c>
      <c r="E54" s="24">
        <v>40</v>
      </c>
      <c r="F54" s="24">
        <v>26</v>
      </c>
      <c r="G54" s="24">
        <v>0</v>
      </c>
    </row>
    <row r="55" spans="1:7" x14ac:dyDescent="0.45">
      <c r="A55" s="24">
        <v>53</v>
      </c>
      <c r="B55" s="24" t="s">
        <v>313</v>
      </c>
      <c r="C55" s="24">
        <v>376</v>
      </c>
      <c r="D55" s="24">
        <v>57</v>
      </c>
      <c r="E55" s="24">
        <v>27</v>
      </c>
      <c r="F55" s="24">
        <v>0</v>
      </c>
      <c r="G55" s="24">
        <v>42</v>
      </c>
    </row>
    <row r="56" spans="1:7" x14ac:dyDescent="0.45">
      <c r="A56" s="24">
        <v>54</v>
      </c>
      <c r="B56" s="24" t="s">
        <v>366</v>
      </c>
      <c r="C56" s="24">
        <v>376</v>
      </c>
      <c r="D56" s="24">
        <v>69</v>
      </c>
      <c r="E56" s="24">
        <v>29</v>
      </c>
      <c r="F56" s="24">
        <v>0</v>
      </c>
      <c r="G56" s="24">
        <v>28</v>
      </c>
    </row>
    <row r="57" spans="1:7" x14ac:dyDescent="0.45">
      <c r="A57" s="24">
        <v>55</v>
      </c>
      <c r="B57" s="24" t="s">
        <v>162</v>
      </c>
      <c r="C57" s="24">
        <v>379</v>
      </c>
      <c r="D57" s="24">
        <v>28</v>
      </c>
      <c r="E57" s="24">
        <v>0</v>
      </c>
      <c r="F57" s="24">
        <v>52</v>
      </c>
      <c r="G57" s="24">
        <v>49</v>
      </c>
    </row>
    <row r="58" spans="1:7" x14ac:dyDescent="0.45">
      <c r="A58" s="24">
        <v>56</v>
      </c>
      <c r="B58" s="24" t="s">
        <v>173</v>
      </c>
      <c r="C58" s="24">
        <v>385</v>
      </c>
      <c r="D58" s="24">
        <v>30</v>
      </c>
      <c r="E58" s="24">
        <v>56</v>
      </c>
      <c r="F58" s="24">
        <v>49</v>
      </c>
      <c r="G58" s="24">
        <v>0</v>
      </c>
    </row>
    <row r="59" spans="1:7" x14ac:dyDescent="0.45">
      <c r="A59" s="24">
        <v>57</v>
      </c>
      <c r="B59" s="24" t="s">
        <v>360</v>
      </c>
      <c r="C59" s="24">
        <v>395</v>
      </c>
      <c r="D59" s="24">
        <v>68</v>
      </c>
      <c r="E59" s="24">
        <v>41</v>
      </c>
      <c r="F59" s="24">
        <v>36</v>
      </c>
      <c r="G59" s="24">
        <v>0</v>
      </c>
    </row>
    <row r="60" spans="1:7" x14ac:dyDescent="0.45">
      <c r="A60" s="24">
        <v>58</v>
      </c>
      <c r="B60" s="24" t="s">
        <v>230</v>
      </c>
      <c r="C60" s="24">
        <v>397</v>
      </c>
      <c r="D60" s="24">
        <v>41</v>
      </c>
      <c r="E60" s="24">
        <v>0</v>
      </c>
      <c r="F60" s="24">
        <v>16</v>
      </c>
      <c r="G60" s="24">
        <v>90</v>
      </c>
    </row>
    <row r="61" spans="1:7" x14ac:dyDescent="0.45">
      <c r="A61" s="24">
        <v>59</v>
      </c>
      <c r="B61" s="24" t="s">
        <v>347</v>
      </c>
      <c r="C61" s="24">
        <v>399</v>
      </c>
      <c r="D61" s="24">
        <v>65</v>
      </c>
      <c r="E61" s="24">
        <v>53</v>
      </c>
      <c r="F61" s="24">
        <v>0</v>
      </c>
      <c r="G61" s="24">
        <v>31</v>
      </c>
    </row>
    <row r="62" spans="1:7" x14ac:dyDescent="0.45">
      <c r="A62" s="24">
        <v>60</v>
      </c>
      <c r="B62" s="24" t="s">
        <v>282</v>
      </c>
      <c r="C62" s="24">
        <v>402</v>
      </c>
      <c r="D62" s="24">
        <v>51</v>
      </c>
      <c r="E62" s="24">
        <v>67</v>
      </c>
      <c r="F62" s="24">
        <v>34</v>
      </c>
      <c r="G62" s="24">
        <v>0</v>
      </c>
    </row>
    <row r="63" spans="1:7" x14ac:dyDescent="0.45">
      <c r="A63" s="24">
        <v>61</v>
      </c>
      <c r="B63" s="24" t="s">
        <v>250</v>
      </c>
      <c r="C63" s="24">
        <v>414</v>
      </c>
      <c r="D63" s="24">
        <v>45</v>
      </c>
      <c r="E63" s="24">
        <v>0</v>
      </c>
      <c r="F63" s="24">
        <v>38</v>
      </c>
      <c r="G63" s="24">
        <v>81</v>
      </c>
    </row>
    <row r="64" spans="1:7" x14ac:dyDescent="0.45">
      <c r="A64" s="24">
        <v>62</v>
      </c>
      <c r="B64" s="24" t="s">
        <v>456</v>
      </c>
      <c r="C64" s="24">
        <v>428</v>
      </c>
      <c r="D64" s="24">
        <v>93</v>
      </c>
      <c r="E64" s="24">
        <v>16</v>
      </c>
      <c r="F64" s="24">
        <v>69</v>
      </c>
      <c r="G64" s="24">
        <v>0</v>
      </c>
    </row>
    <row r="65" spans="1:7" x14ac:dyDescent="0.45">
      <c r="A65" s="24">
        <v>63</v>
      </c>
      <c r="B65" s="24" t="s">
        <v>352</v>
      </c>
      <c r="C65" s="24">
        <v>435</v>
      </c>
      <c r="D65" s="24">
        <v>66</v>
      </c>
      <c r="E65" s="24">
        <v>54</v>
      </c>
      <c r="F65" s="24">
        <v>0</v>
      </c>
      <c r="G65" s="24">
        <v>65</v>
      </c>
    </row>
    <row r="66" spans="1:7" x14ac:dyDescent="0.45">
      <c r="A66" s="24">
        <v>64</v>
      </c>
      <c r="B66" s="24" t="s">
        <v>216</v>
      </c>
      <c r="C66" s="24">
        <v>438</v>
      </c>
      <c r="D66" s="24">
        <v>38</v>
      </c>
      <c r="E66" s="24">
        <v>0</v>
      </c>
      <c r="F66" s="24">
        <v>88</v>
      </c>
      <c r="G66" s="24">
        <v>62</v>
      </c>
    </row>
    <row r="67" spans="1:7" x14ac:dyDescent="0.45">
      <c r="A67" s="24">
        <v>65</v>
      </c>
      <c r="B67" s="24" t="s">
        <v>326</v>
      </c>
      <c r="C67" s="24">
        <v>441</v>
      </c>
      <c r="D67" s="24">
        <v>60</v>
      </c>
      <c r="E67" s="24">
        <v>0</v>
      </c>
      <c r="F67" s="24">
        <v>58</v>
      </c>
      <c r="G67" s="24">
        <v>73</v>
      </c>
    </row>
    <row r="68" spans="1:7" x14ac:dyDescent="0.45">
      <c r="A68" s="24">
        <v>66</v>
      </c>
      <c r="B68" s="24" t="s">
        <v>446</v>
      </c>
      <c r="C68" s="24">
        <v>443</v>
      </c>
      <c r="D68" s="24">
        <v>90</v>
      </c>
      <c r="E68" s="24">
        <v>43</v>
      </c>
      <c r="F68" s="24">
        <v>60</v>
      </c>
      <c r="G68" s="24">
        <v>0</v>
      </c>
    </row>
    <row r="69" spans="1:7" x14ac:dyDescent="0.45">
      <c r="A69" s="24">
        <v>67</v>
      </c>
      <c r="B69" s="24" t="s">
        <v>808</v>
      </c>
      <c r="C69" s="24">
        <v>444</v>
      </c>
      <c r="D69" s="24">
        <v>95</v>
      </c>
      <c r="E69" s="24">
        <v>61</v>
      </c>
      <c r="F69" s="24">
        <v>0</v>
      </c>
      <c r="G69" s="24">
        <v>38</v>
      </c>
    </row>
    <row r="70" spans="1:7" x14ac:dyDescent="0.45">
      <c r="A70" s="24">
        <v>68</v>
      </c>
      <c r="B70" s="24" t="s">
        <v>545</v>
      </c>
      <c r="C70" s="24">
        <v>445</v>
      </c>
      <c r="D70" s="24">
        <v>0</v>
      </c>
      <c r="E70" s="24">
        <v>39</v>
      </c>
      <c r="F70" s="24">
        <v>82</v>
      </c>
      <c r="G70" s="24">
        <v>74</v>
      </c>
    </row>
    <row r="71" spans="1:7" x14ac:dyDescent="0.45">
      <c r="A71" s="24">
        <v>69</v>
      </c>
      <c r="B71" s="24" t="s">
        <v>829</v>
      </c>
      <c r="C71" s="24">
        <v>447</v>
      </c>
      <c r="D71" s="24">
        <v>64</v>
      </c>
      <c r="E71" s="24">
        <v>57</v>
      </c>
      <c r="F71" s="24">
        <v>0</v>
      </c>
      <c r="G71" s="24">
        <v>76</v>
      </c>
    </row>
    <row r="72" spans="1:7" x14ac:dyDescent="0.45">
      <c r="A72" s="24">
        <v>70</v>
      </c>
      <c r="B72" s="24" t="s">
        <v>234</v>
      </c>
      <c r="C72" s="24">
        <v>463</v>
      </c>
      <c r="D72" s="24">
        <v>42</v>
      </c>
      <c r="E72" s="24">
        <v>95</v>
      </c>
      <c r="F72" s="24">
        <v>76</v>
      </c>
      <c r="G72" s="24">
        <v>0</v>
      </c>
    </row>
    <row r="73" spans="1:7" x14ac:dyDescent="0.45">
      <c r="A73" s="24">
        <v>71</v>
      </c>
      <c r="B73" s="24" t="s">
        <v>392</v>
      </c>
      <c r="C73" s="24">
        <v>468</v>
      </c>
      <c r="D73" s="24">
        <v>76</v>
      </c>
      <c r="E73" s="24">
        <v>81</v>
      </c>
      <c r="F73" s="24">
        <v>61</v>
      </c>
      <c r="G73" s="24">
        <v>0</v>
      </c>
    </row>
    <row r="74" spans="1:7" x14ac:dyDescent="0.45">
      <c r="A74" s="24">
        <v>72</v>
      </c>
      <c r="B74" s="24" t="s">
        <v>471</v>
      </c>
      <c r="C74" s="24">
        <v>470</v>
      </c>
      <c r="D74" s="24">
        <v>98</v>
      </c>
      <c r="E74" s="24">
        <v>64</v>
      </c>
      <c r="F74" s="24">
        <v>0</v>
      </c>
      <c r="G74" s="24">
        <v>58</v>
      </c>
    </row>
    <row r="75" spans="1:7" x14ac:dyDescent="0.45">
      <c r="A75" s="24">
        <v>73</v>
      </c>
      <c r="B75" s="24" t="s">
        <v>369</v>
      </c>
      <c r="C75" s="24">
        <v>475</v>
      </c>
      <c r="D75" s="24">
        <v>70</v>
      </c>
      <c r="E75" s="24">
        <v>0</v>
      </c>
      <c r="F75" s="24">
        <v>61</v>
      </c>
      <c r="G75" s="24">
        <v>94</v>
      </c>
    </row>
    <row r="76" spans="1:7" x14ac:dyDescent="0.45">
      <c r="A76" s="24">
        <v>74</v>
      </c>
      <c r="B76" s="24" t="s">
        <v>388</v>
      </c>
      <c r="C76" s="24">
        <v>475</v>
      </c>
      <c r="D76" s="24">
        <v>75</v>
      </c>
      <c r="E76" s="24">
        <v>66</v>
      </c>
      <c r="F76" s="24">
        <v>0</v>
      </c>
      <c r="G76" s="24">
        <v>84</v>
      </c>
    </row>
    <row r="77" spans="1:7" x14ac:dyDescent="0.45">
      <c r="A77" s="24">
        <v>75</v>
      </c>
      <c r="B77" s="24" t="s">
        <v>474</v>
      </c>
      <c r="C77" s="24">
        <v>492</v>
      </c>
      <c r="D77" s="24">
        <v>99</v>
      </c>
      <c r="E77" s="24">
        <v>0</v>
      </c>
      <c r="F77" s="24">
        <v>54</v>
      </c>
      <c r="G77" s="24">
        <v>89</v>
      </c>
    </row>
    <row r="78" spans="1:7" x14ac:dyDescent="0.45">
      <c r="A78" s="24">
        <v>76</v>
      </c>
      <c r="B78" s="24" t="s">
        <v>809</v>
      </c>
      <c r="C78" s="24">
        <v>558</v>
      </c>
      <c r="D78" s="24">
        <v>0</v>
      </c>
      <c r="E78" s="24">
        <v>19</v>
      </c>
      <c r="F78" s="24">
        <v>0</v>
      </c>
      <c r="G78" s="24">
        <v>39</v>
      </c>
    </row>
    <row r="79" spans="1:7" x14ac:dyDescent="0.45">
      <c r="A79" s="24">
        <v>77</v>
      </c>
      <c r="B79" s="24" t="s">
        <v>556</v>
      </c>
      <c r="C79" s="24">
        <v>562</v>
      </c>
      <c r="D79" s="24">
        <v>0</v>
      </c>
      <c r="E79" s="24">
        <v>44</v>
      </c>
      <c r="F79" s="24">
        <v>0</v>
      </c>
      <c r="G79" s="24">
        <v>18</v>
      </c>
    </row>
    <row r="80" spans="1:7" x14ac:dyDescent="0.45">
      <c r="A80" s="24">
        <v>78</v>
      </c>
      <c r="B80" s="24" t="s">
        <v>270</v>
      </c>
      <c r="C80" s="24">
        <v>590</v>
      </c>
      <c r="D80" s="24">
        <v>49</v>
      </c>
      <c r="E80" s="24">
        <v>41</v>
      </c>
      <c r="F80" s="24">
        <v>0</v>
      </c>
      <c r="G80" s="24">
        <v>0</v>
      </c>
    </row>
    <row r="81" spans="1:7" x14ac:dyDescent="0.45">
      <c r="A81" s="24">
        <v>79</v>
      </c>
      <c r="B81" s="24" t="s">
        <v>190</v>
      </c>
      <c r="C81" s="24">
        <v>592</v>
      </c>
      <c r="D81" s="24">
        <v>33</v>
      </c>
      <c r="E81" s="24">
        <v>0</v>
      </c>
      <c r="F81" s="24">
        <v>59</v>
      </c>
      <c r="G81" s="24">
        <v>0</v>
      </c>
    </row>
    <row r="82" spans="1:7" x14ac:dyDescent="0.45">
      <c r="A82" s="24">
        <v>80</v>
      </c>
      <c r="B82" s="24" t="s">
        <v>211</v>
      </c>
      <c r="C82" s="24">
        <v>593</v>
      </c>
      <c r="D82" s="24">
        <v>37</v>
      </c>
      <c r="E82" s="24">
        <v>0</v>
      </c>
      <c r="F82" s="24">
        <v>56</v>
      </c>
      <c r="G82" s="24">
        <v>0</v>
      </c>
    </row>
    <row r="83" spans="1:7" x14ac:dyDescent="0.45">
      <c r="A83" s="24">
        <v>81</v>
      </c>
      <c r="B83" s="24" t="s">
        <v>319</v>
      </c>
      <c r="C83" s="24">
        <v>598</v>
      </c>
      <c r="D83" s="24">
        <v>58</v>
      </c>
      <c r="E83" s="24">
        <v>0</v>
      </c>
      <c r="F83" s="24">
        <v>40</v>
      </c>
      <c r="G83" s="24">
        <v>0</v>
      </c>
    </row>
    <row r="84" spans="1:7" x14ac:dyDescent="0.45">
      <c r="A84" s="24">
        <v>82</v>
      </c>
      <c r="B84" s="24" t="s">
        <v>807</v>
      </c>
      <c r="C84" s="24">
        <v>600</v>
      </c>
      <c r="D84" s="24">
        <v>63</v>
      </c>
      <c r="E84" s="24">
        <v>0</v>
      </c>
      <c r="F84" s="24">
        <v>0</v>
      </c>
      <c r="G84" s="24">
        <v>37</v>
      </c>
    </row>
    <row r="85" spans="1:7" x14ac:dyDescent="0.45">
      <c r="A85" s="24">
        <v>83</v>
      </c>
      <c r="B85" s="24" t="s">
        <v>239</v>
      </c>
      <c r="C85" s="24">
        <v>608</v>
      </c>
      <c r="D85" s="24">
        <v>43</v>
      </c>
      <c r="E85" s="24">
        <v>0</v>
      </c>
      <c r="F85" s="24">
        <v>65</v>
      </c>
      <c r="G85" s="24">
        <v>0</v>
      </c>
    </row>
    <row r="86" spans="1:7" x14ac:dyDescent="0.45">
      <c r="A86" s="24">
        <v>84</v>
      </c>
      <c r="B86" s="24" t="s">
        <v>765</v>
      </c>
      <c r="C86" s="24">
        <v>612</v>
      </c>
      <c r="D86" s="24">
        <v>0</v>
      </c>
      <c r="E86" s="24">
        <v>0</v>
      </c>
      <c r="F86" s="24">
        <v>93</v>
      </c>
      <c r="G86" s="24">
        <v>19</v>
      </c>
    </row>
    <row r="87" spans="1:7" x14ac:dyDescent="0.45">
      <c r="A87" s="24">
        <v>85</v>
      </c>
      <c r="B87" s="24" t="s">
        <v>372</v>
      </c>
      <c r="C87" s="24">
        <v>627</v>
      </c>
      <c r="D87" s="24">
        <v>71</v>
      </c>
      <c r="E87" s="24">
        <v>0</v>
      </c>
      <c r="F87" s="24">
        <v>0</v>
      </c>
      <c r="G87" s="24">
        <v>56</v>
      </c>
    </row>
    <row r="88" spans="1:7" x14ac:dyDescent="0.45">
      <c r="A88" s="24">
        <v>86</v>
      </c>
      <c r="B88" s="24" t="s">
        <v>607</v>
      </c>
      <c r="C88" s="24">
        <v>628</v>
      </c>
      <c r="D88" s="24">
        <v>0</v>
      </c>
      <c r="E88" s="24">
        <v>82</v>
      </c>
      <c r="F88" s="24">
        <v>0</v>
      </c>
      <c r="G88" s="24">
        <v>46</v>
      </c>
    </row>
    <row r="89" spans="1:7" x14ac:dyDescent="0.45">
      <c r="A89" s="24">
        <v>87</v>
      </c>
      <c r="B89" s="24" t="s">
        <v>813</v>
      </c>
      <c r="C89" s="24">
        <v>628</v>
      </c>
      <c r="D89" s="24">
        <v>0</v>
      </c>
      <c r="E89" s="24">
        <v>83</v>
      </c>
      <c r="F89" s="24">
        <v>0</v>
      </c>
      <c r="G89" s="24">
        <v>45</v>
      </c>
    </row>
    <row r="90" spans="1:7" x14ac:dyDescent="0.45">
      <c r="A90" s="24">
        <v>88</v>
      </c>
      <c r="B90" s="24" t="s">
        <v>619</v>
      </c>
      <c r="C90" s="24">
        <v>628</v>
      </c>
      <c r="D90" s="24">
        <v>0</v>
      </c>
      <c r="E90" s="24">
        <v>94</v>
      </c>
      <c r="F90" s="24">
        <v>0</v>
      </c>
      <c r="G90" s="24">
        <v>34</v>
      </c>
    </row>
    <row r="91" spans="1:7" x14ac:dyDescent="0.45">
      <c r="A91" s="24">
        <v>89</v>
      </c>
      <c r="B91" s="24" t="s">
        <v>689</v>
      </c>
      <c r="C91" s="24">
        <v>633</v>
      </c>
      <c r="D91" s="24">
        <v>91</v>
      </c>
      <c r="E91" s="24">
        <v>0</v>
      </c>
      <c r="F91" s="24">
        <v>42</v>
      </c>
      <c r="G91" s="24">
        <v>0</v>
      </c>
    </row>
    <row r="92" spans="1:7" x14ac:dyDescent="0.45">
      <c r="A92" s="24">
        <v>90</v>
      </c>
      <c r="B92" s="24" t="s">
        <v>466</v>
      </c>
      <c r="C92" s="24">
        <v>643</v>
      </c>
      <c r="D92" s="24">
        <v>95</v>
      </c>
      <c r="E92" s="24">
        <v>0</v>
      </c>
      <c r="F92" s="24">
        <v>48</v>
      </c>
      <c r="G92" s="24">
        <v>0</v>
      </c>
    </row>
    <row r="93" spans="1:7" x14ac:dyDescent="0.45">
      <c r="A93" s="24">
        <v>91</v>
      </c>
      <c r="B93" s="24" t="s">
        <v>403</v>
      </c>
      <c r="C93" s="24">
        <v>644</v>
      </c>
      <c r="D93" s="24">
        <v>79</v>
      </c>
      <c r="E93" s="24">
        <v>0</v>
      </c>
      <c r="F93" s="24">
        <v>65</v>
      </c>
      <c r="G93" s="24">
        <v>0</v>
      </c>
    </row>
    <row r="94" spans="1:7" x14ac:dyDescent="0.45">
      <c r="A94" s="24">
        <v>92</v>
      </c>
      <c r="B94" s="24" t="s">
        <v>732</v>
      </c>
      <c r="C94" s="24">
        <v>651</v>
      </c>
      <c r="D94" s="24">
        <v>78</v>
      </c>
      <c r="E94" s="24">
        <v>0</v>
      </c>
      <c r="F94" s="24">
        <v>73</v>
      </c>
      <c r="G94" s="24">
        <v>0</v>
      </c>
    </row>
    <row r="95" spans="1:7" x14ac:dyDescent="0.45">
      <c r="A95" s="24">
        <v>93</v>
      </c>
      <c r="B95" s="24" t="s">
        <v>416</v>
      </c>
      <c r="C95" s="24">
        <v>654</v>
      </c>
      <c r="D95" s="24">
        <v>82</v>
      </c>
      <c r="E95" s="24">
        <v>0</v>
      </c>
      <c r="F95" s="24">
        <v>0</v>
      </c>
      <c r="G95" s="24">
        <v>72</v>
      </c>
    </row>
    <row r="96" spans="1:7" x14ac:dyDescent="0.45">
      <c r="A96" s="24">
        <v>94</v>
      </c>
      <c r="B96" s="24" t="s">
        <v>617</v>
      </c>
      <c r="C96" s="24">
        <v>663</v>
      </c>
      <c r="D96" s="24">
        <v>0</v>
      </c>
      <c r="E96" s="24">
        <v>92</v>
      </c>
      <c r="F96" s="24">
        <v>0</v>
      </c>
      <c r="G96" s="24">
        <v>71</v>
      </c>
    </row>
    <row r="97" spans="1:7" x14ac:dyDescent="0.45">
      <c r="A97" s="24">
        <v>95</v>
      </c>
      <c r="B97" s="24" t="s">
        <v>420</v>
      </c>
      <c r="C97" s="24">
        <v>663</v>
      </c>
      <c r="D97" s="24">
        <v>82</v>
      </c>
      <c r="E97" s="24">
        <v>0</v>
      </c>
      <c r="F97" s="24">
        <v>81</v>
      </c>
      <c r="G97" s="24">
        <v>0</v>
      </c>
    </row>
    <row r="98" spans="1:7" x14ac:dyDescent="0.45">
      <c r="A98" s="24">
        <v>96</v>
      </c>
      <c r="B98" s="24" t="s">
        <v>598</v>
      </c>
      <c r="C98" s="24">
        <v>664</v>
      </c>
      <c r="D98" s="24">
        <v>0</v>
      </c>
      <c r="E98" s="24">
        <v>67</v>
      </c>
      <c r="F98" s="24">
        <v>0</v>
      </c>
      <c r="G98" s="24">
        <v>97</v>
      </c>
    </row>
    <row r="99" spans="1:7" x14ac:dyDescent="0.45">
      <c r="A99" s="24">
        <v>97</v>
      </c>
      <c r="B99" s="24" t="s">
        <v>443</v>
      </c>
      <c r="C99" s="24">
        <v>665</v>
      </c>
      <c r="D99" s="24">
        <v>89</v>
      </c>
      <c r="E99" s="24">
        <v>76</v>
      </c>
      <c r="F99" s="24">
        <v>0</v>
      </c>
      <c r="G99" s="24">
        <v>0</v>
      </c>
    </row>
    <row r="100" spans="1:7" x14ac:dyDescent="0.45">
      <c r="A100" s="24">
        <v>98</v>
      </c>
      <c r="B100" s="24" t="s">
        <v>408</v>
      </c>
      <c r="C100" s="24">
        <v>667</v>
      </c>
      <c r="D100" s="24">
        <v>80</v>
      </c>
      <c r="E100" s="24">
        <v>87</v>
      </c>
      <c r="F100" s="24">
        <v>0</v>
      </c>
      <c r="G100" s="24">
        <v>0</v>
      </c>
    </row>
    <row r="101" spans="1:7" x14ac:dyDescent="0.45">
      <c r="A101" s="24">
        <v>99</v>
      </c>
      <c r="B101" s="24" t="s">
        <v>749</v>
      </c>
      <c r="C101" s="24">
        <v>674</v>
      </c>
      <c r="D101" s="24">
        <v>0</v>
      </c>
      <c r="E101" s="24">
        <v>0</v>
      </c>
      <c r="F101" s="24">
        <v>86</v>
      </c>
      <c r="G101" s="24">
        <v>88</v>
      </c>
    </row>
    <row r="102" spans="1:7" x14ac:dyDescent="0.45">
      <c r="A102" s="24">
        <v>100</v>
      </c>
      <c r="B102" s="24" t="s">
        <v>428</v>
      </c>
      <c r="C102" s="24">
        <v>675</v>
      </c>
      <c r="D102" s="24">
        <v>85</v>
      </c>
      <c r="E102" s="24">
        <v>90</v>
      </c>
      <c r="F102" s="24">
        <v>0</v>
      </c>
      <c r="G102" s="24">
        <v>0</v>
      </c>
    </row>
    <row r="103" spans="1:7" x14ac:dyDescent="0.45">
      <c r="A103" s="24">
        <v>101</v>
      </c>
      <c r="B103" s="24" t="s">
        <v>618</v>
      </c>
      <c r="C103" s="24">
        <v>685</v>
      </c>
      <c r="D103" s="24">
        <v>0</v>
      </c>
      <c r="E103" s="24">
        <v>92</v>
      </c>
      <c r="F103" s="24">
        <v>0</v>
      </c>
      <c r="G103" s="24">
        <v>93</v>
      </c>
    </row>
    <row r="104" spans="1:7" x14ac:dyDescent="0.45">
      <c r="A104" s="24">
        <v>102</v>
      </c>
      <c r="B104" s="24" t="s">
        <v>440</v>
      </c>
      <c r="C104" s="24">
        <v>687</v>
      </c>
      <c r="D104" s="24">
        <v>88</v>
      </c>
      <c r="E104" s="24">
        <v>0</v>
      </c>
      <c r="F104" s="24">
        <v>0</v>
      </c>
      <c r="G104" s="24">
        <v>99</v>
      </c>
    </row>
    <row r="105" spans="1:7" x14ac:dyDescent="0.45">
      <c r="A105" s="24">
        <v>103</v>
      </c>
      <c r="B105" s="24" t="s">
        <v>622</v>
      </c>
      <c r="C105" s="24">
        <v>689</v>
      </c>
      <c r="D105" s="24">
        <v>0</v>
      </c>
      <c r="E105" s="24">
        <v>99</v>
      </c>
      <c r="F105" s="24">
        <v>90</v>
      </c>
      <c r="G105" s="24">
        <v>0</v>
      </c>
    </row>
    <row r="106" spans="1:7" x14ac:dyDescent="0.45">
      <c r="A106" s="24">
        <v>104</v>
      </c>
      <c r="B106" s="24" t="s">
        <v>806</v>
      </c>
      <c r="C106" s="24">
        <v>786</v>
      </c>
      <c r="D106" s="24">
        <v>0</v>
      </c>
      <c r="E106" s="24">
        <v>0</v>
      </c>
      <c r="F106" s="24">
        <v>0</v>
      </c>
      <c r="G106" s="24">
        <v>36</v>
      </c>
    </row>
    <row r="107" spans="1:7" x14ac:dyDescent="0.45">
      <c r="A107" s="24">
        <v>105</v>
      </c>
      <c r="B107" s="24" t="s">
        <v>812</v>
      </c>
      <c r="C107" s="24">
        <v>793</v>
      </c>
      <c r="D107" s="24">
        <v>0</v>
      </c>
      <c r="E107" s="24">
        <v>0</v>
      </c>
      <c r="F107" s="24">
        <v>0</v>
      </c>
      <c r="G107" s="24">
        <v>43</v>
      </c>
    </row>
    <row r="108" spans="1:7" x14ac:dyDescent="0.45">
      <c r="A108" s="24">
        <v>106</v>
      </c>
      <c r="B108" s="24" t="s">
        <v>552</v>
      </c>
      <c r="C108" s="24">
        <v>794</v>
      </c>
      <c r="D108" s="24">
        <v>0</v>
      </c>
      <c r="E108" s="24">
        <v>44</v>
      </c>
      <c r="F108" s="24">
        <v>0</v>
      </c>
      <c r="G108" s="24">
        <v>0</v>
      </c>
    </row>
    <row r="109" spans="1:7" x14ac:dyDescent="0.45">
      <c r="A109" s="24">
        <v>107</v>
      </c>
      <c r="B109" s="24" t="s">
        <v>814</v>
      </c>
      <c r="C109" s="24">
        <v>798</v>
      </c>
      <c r="D109" s="24">
        <v>0</v>
      </c>
      <c r="E109" s="24">
        <v>0</v>
      </c>
      <c r="F109" s="24">
        <v>0</v>
      </c>
      <c r="G109" s="24">
        <v>48</v>
      </c>
    </row>
    <row r="110" spans="1:7" x14ac:dyDescent="0.45">
      <c r="A110" s="24">
        <v>108</v>
      </c>
      <c r="B110" s="24" t="s">
        <v>561</v>
      </c>
      <c r="C110" s="24">
        <v>800</v>
      </c>
      <c r="D110" s="24">
        <v>0</v>
      </c>
      <c r="E110" s="24">
        <v>50</v>
      </c>
      <c r="F110" s="24">
        <v>0</v>
      </c>
      <c r="G110" s="24">
        <v>0</v>
      </c>
    </row>
    <row r="111" spans="1:7" x14ac:dyDescent="0.45">
      <c r="A111" s="24">
        <v>109</v>
      </c>
      <c r="B111" s="24" t="s">
        <v>815</v>
      </c>
      <c r="C111" s="24">
        <v>801</v>
      </c>
      <c r="D111" s="24">
        <v>0</v>
      </c>
      <c r="E111" s="24">
        <v>0</v>
      </c>
      <c r="F111" s="24">
        <v>0</v>
      </c>
      <c r="G111" s="24">
        <v>51</v>
      </c>
    </row>
    <row r="112" spans="1:7" x14ac:dyDescent="0.45">
      <c r="A112" s="24">
        <v>110</v>
      </c>
      <c r="B112" s="24" t="s">
        <v>563</v>
      </c>
      <c r="C112" s="24">
        <v>801</v>
      </c>
      <c r="D112" s="24">
        <v>0</v>
      </c>
      <c r="E112" s="24">
        <v>51</v>
      </c>
      <c r="F112" s="24">
        <v>0</v>
      </c>
      <c r="G112" s="24">
        <v>0</v>
      </c>
    </row>
    <row r="113" spans="1:7" x14ac:dyDescent="0.45">
      <c r="A113" s="24">
        <v>111</v>
      </c>
      <c r="B113" s="24" t="s">
        <v>565</v>
      </c>
      <c r="C113" s="24">
        <v>802</v>
      </c>
      <c r="D113" s="24">
        <v>0</v>
      </c>
      <c r="E113" s="24">
        <v>52</v>
      </c>
      <c r="F113" s="24">
        <v>0</v>
      </c>
      <c r="G113" s="24">
        <v>0</v>
      </c>
    </row>
    <row r="114" spans="1:7" x14ac:dyDescent="0.45">
      <c r="A114" s="24">
        <v>112</v>
      </c>
      <c r="B114" s="24" t="s">
        <v>817</v>
      </c>
      <c r="C114" s="24">
        <v>803</v>
      </c>
      <c r="D114" s="24">
        <v>0</v>
      </c>
      <c r="E114" s="24">
        <v>0</v>
      </c>
      <c r="F114" s="24">
        <v>0</v>
      </c>
      <c r="G114" s="24">
        <v>53</v>
      </c>
    </row>
    <row r="115" spans="1:7" x14ac:dyDescent="0.45">
      <c r="A115" s="24">
        <v>113</v>
      </c>
      <c r="B115" s="24" t="s">
        <v>818</v>
      </c>
      <c r="C115" s="24">
        <v>804</v>
      </c>
      <c r="D115" s="24">
        <v>0</v>
      </c>
      <c r="E115" s="24">
        <v>0</v>
      </c>
      <c r="F115" s="24">
        <v>0</v>
      </c>
      <c r="G115" s="24">
        <v>54</v>
      </c>
    </row>
    <row r="116" spans="1:7" x14ac:dyDescent="0.45">
      <c r="A116" s="24">
        <v>114</v>
      </c>
      <c r="B116" s="24" t="s">
        <v>625</v>
      </c>
      <c r="C116" s="24">
        <v>805</v>
      </c>
      <c r="D116" s="24">
        <v>0</v>
      </c>
      <c r="E116" s="24">
        <v>0</v>
      </c>
      <c r="F116" s="24">
        <v>0</v>
      </c>
      <c r="G116" s="24">
        <v>55</v>
      </c>
    </row>
    <row r="117" spans="1:7" x14ac:dyDescent="0.45">
      <c r="A117" s="24">
        <v>115</v>
      </c>
      <c r="B117" s="24" t="s">
        <v>705</v>
      </c>
      <c r="C117" s="24">
        <v>805</v>
      </c>
      <c r="D117" s="24">
        <v>0</v>
      </c>
      <c r="E117" s="24">
        <v>0</v>
      </c>
      <c r="F117" s="24">
        <v>55</v>
      </c>
      <c r="G117" s="24">
        <v>0</v>
      </c>
    </row>
    <row r="118" spans="1:7" x14ac:dyDescent="0.45">
      <c r="A118" s="24">
        <v>116</v>
      </c>
      <c r="B118" s="24" t="s">
        <v>570</v>
      </c>
      <c r="C118" s="24">
        <v>807</v>
      </c>
      <c r="D118" s="24">
        <v>0</v>
      </c>
      <c r="E118" s="24">
        <v>57</v>
      </c>
      <c r="F118" s="24">
        <v>0</v>
      </c>
      <c r="G118" s="24">
        <v>0</v>
      </c>
    </row>
    <row r="119" spans="1:7" x14ac:dyDescent="0.45">
      <c r="A119" s="24">
        <v>117</v>
      </c>
      <c r="B119" s="24" t="s">
        <v>322</v>
      </c>
      <c r="C119" s="24">
        <v>809</v>
      </c>
      <c r="D119" s="24">
        <v>59</v>
      </c>
      <c r="E119" s="24">
        <v>0</v>
      </c>
      <c r="F119" s="24">
        <v>0</v>
      </c>
      <c r="G119" s="24">
        <v>0</v>
      </c>
    </row>
    <row r="120" spans="1:7" x14ac:dyDescent="0.45">
      <c r="A120" s="24">
        <v>118</v>
      </c>
      <c r="B120" s="24" t="s">
        <v>594</v>
      </c>
      <c r="C120" s="24">
        <v>812</v>
      </c>
      <c r="D120" s="24">
        <v>0</v>
      </c>
      <c r="E120" s="24">
        <v>62</v>
      </c>
      <c r="F120" s="24">
        <v>0</v>
      </c>
      <c r="G120" s="24">
        <v>0</v>
      </c>
    </row>
    <row r="121" spans="1:7" x14ac:dyDescent="0.45">
      <c r="A121" s="24">
        <v>119</v>
      </c>
      <c r="B121" s="24" t="s">
        <v>820</v>
      </c>
      <c r="C121" s="24">
        <v>813</v>
      </c>
      <c r="D121" s="24">
        <v>0</v>
      </c>
      <c r="E121" s="24">
        <v>0</v>
      </c>
      <c r="F121" s="24">
        <v>0</v>
      </c>
      <c r="G121" s="24">
        <v>63</v>
      </c>
    </row>
    <row r="122" spans="1:7" x14ac:dyDescent="0.45">
      <c r="A122" s="24">
        <v>120</v>
      </c>
      <c r="B122" s="24" t="s">
        <v>715</v>
      </c>
      <c r="C122" s="24">
        <v>814</v>
      </c>
      <c r="D122" s="24">
        <v>0</v>
      </c>
      <c r="E122" s="24">
        <v>0</v>
      </c>
      <c r="F122" s="24">
        <v>64</v>
      </c>
      <c r="G122" s="24">
        <v>0</v>
      </c>
    </row>
    <row r="123" spans="1:7" x14ac:dyDescent="0.45">
      <c r="A123" s="24">
        <v>121</v>
      </c>
      <c r="B123" s="24" t="s">
        <v>821</v>
      </c>
      <c r="C123" s="24">
        <v>814</v>
      </c>
      <c r="D123" s="24">
        <v>0</v>
      </c>
      <c r="E123" s="24">
        <v>0</v>
      </c>
      <c r="F123" s="24">
        <v>0</v>
      </c>
      <c r="G123" s="24">
        <v>64</v>
      </c>
    </row>
    <row r="124" spans="1:7" x14ac:dyDescent="0.45">
      <c r="A124" s="24">
        <v>122</v>
      </c>
      <c r="B124" s="24" t="s">
        <v>720</v>
      </c>
      <c r="C124" s="24">
        <v>817</v>
      </c>
      <c r="D124" s="24">
        <v>0</v>
      </c>
      <c r="E124" s="24">
        <v>0</v>
      </c>
      <c r="F124" s="24">
        <v>67</v>
      </c>
      <c r="G124" s="24">
        <v>0</v>
      </c>
    </row>
    <row r="125" spans="1:7" x14ac:dyDescent="0.45">
      <c r="A125" s="24">
        <v>123</v>
      </c>
      <c r="B125" s="24" t="s">
        <v>722</v>
      </c>
      <c r="C125" s="24">
        <v>818</v>
      </c>
      <c r="D125" s="24">
        <v>0</v>
      </c>
      <c r="E125" s="24">
        <v>0</v>
      </c>
      <c r="F125" s="24">
        <v>68</v>
      </c>
      <c r="G125" s="24">
        <v>0</v>
      </c>
    </row>
    <row r="126" spans="1:7" x14ac:dyDescent="0.45">
      <c r="A126" s="24">
        <v>124</v>
      </c>
      <c r="B126" s="24" t="s">
        <v>599</v>
      </c>
      <c r="C126" s="24">
        <v>819</v>
      </c>
      <c r="D126" s="24">
        <v>0</v>
      </c>
      <c r="E126" s="24">
        <v>69</v>
      </c>
      <c r="F126" s="24">
        <v>0</v>
      </c>
      <c r="G126" s="24">
        <v>0</v>
      </c>
    </row>
    <row r="127" spans="1:7" x14ac:dyDescent="0.45">
      <c r="A127" s="24">
        <v>125</v>
      </c>
      <c r="B127" s="24" t="s">
        <v>826</v>
      </c>
      <c r="C127" s="24">
        <v>820</v>
      </c>
      <c r="D127" s="24">
        <v>0</v>
      </c>
      <c r="E127" s="24">
        <v>0</v>
      </c>
      <c r="F127" s="24">
        <v>0</v>
      </c>
      <c r="G127" s="24">
        <v>70</v>
      </c>
    </row>
    <row r="128" spans="1:7" x14ac:dyDescent="0.45">
      <c r="A128" s="24">
        <v>126</v>
      </c>
      <c r="B128" s="24" t="s">
        <v>725</v>
      </c>
      <c r="C128" s="24">
        <v>820</v>
      </c>
      <c r="D128" s="24">
        <v>0</v>
      </c>
      <c r="E128" s="24">
        <v>0</v>
      </c>
      <c r="F128" s="24">
        <v>70</v>
      </c>
      <c r="G128" s="24">
        <v>0</v>
      </c>
    </row>
    <row r="129" spans="1:7" x14ac:dyDescent="0.45">
      <c r="A129" s="24">
        <v>127</v>
      </c>
      <c r="B129" s="24" t="s">
        <v>600</v>
      </c>
      <c r="C129" s="24">
        <v>820</v>
      </c>
      <c r="D129" s="24">
        <v>0</v>
      </c>
      <c r="E129" s="24">
        <v>70</v>
      </c>
      <c r="F129" s="24">
        <v>0</v>
      </c>
      <c r="G129" s="24">
        <v>0</v>
      </c>
    </row>
    <row r="130" spans="1:7" x14ac:dyDescent="0.45">
      <c r="A130" s="24">
        <v>128</v>
      </c>
      <c r="B130" s="24" t="s">
        <v>728</v>
      </c>
      <c r="C130" s="24">
        <v>821</v>
      </c>
      <c r="D130" s="24">
        <v>0</v>
      </c>
      <c r="E130" s="24">
        <v>0</v>
      </c>
      <c r="F130" s="24">
        <v>71</v>
      </c>
      <c r="G130" s="24">
        <v>0</v>
      </c>
    </row>
    <row r="131" spans="1:7" x14ac:dyDescent="0.45">
      <c r="A131" s="24">
        <v>129</v>
      </c>
      <c r="B131" s="24" t="s">
        <v>601</v>
      </c>
      <c r="C131" s="24">
        <v>821</v>
      </c>
      <c r="D131" s="24">
        <v>0</v>
      </c>
      <c r="E131" s="24">
        <v>71</v>
      </c>
      <c r="F131" s="24">
        <v>0</v>
      </c>
      <c r="G131" s="24">
        <v>0</v>
      </c>
    </row>
    <row r="132" spans="1:7" x14ac:dyDescent="0.45">
      <c r="A132" s="24">
        <v>130</v>
      </c>
      <c r="B132" s="24" t="s">
        <v>381</v>
      </c>
      <c r="C132" s="24">
        <v>823</v>
      </c>
      <c r="D132" s="24">
        <v>73</v>
      </c>
      <c r="E132" s="24">
        <v>0</v>
      </c>
      <c r="F132" s="24">
        <v>0</v>
      </c>
      <c r="G132" s="24">
        <v>0</v>
      </c>
    </row>
    <row r="133" spans="1:7" x14ac:dyDescent="0.45">
      <c r="A133" s="24">
        <v>131</v>
      </c>
      <c r="B133" s="24" t="s">
        <v>733</v>
      </c>
      <c r="C133" s="24">
        <v>824</v>
      </c>
      <c r="D133" s="24">
        <v>0</v>
      </c>
      <c r="E133" s="24">
        <v>0</v>
      </c>
      <c r="F133" s="24">
        <v>74</v>
      </c>
      <c r="G133" s="24">
        <v>0</v>
      </c>
    </row>
    <row r="134" spans="1:7" x14ac:dyDescent="0.45">
      <c r="A134" s="24">
        <v>132</v>
      </c>
      <c r="B134" s="24" t="s">
        <v>602</v>
      </c>
      <c r="C134" s="24">
        <v>824</v>
      </c>
      <c r="D134" s="24">
        <v>0</v>
      </c>
      <c r="E134" s="24">
        <v>74</v>
      </c>
      <c r="F134" s="24">
        <v>0</v>
      </c>
      <c r="G134" s="24">
        <v>0</v>
      </c>
    </row>
    <row r="135" spans="1:7" x14ac:dyDescent="0.45">
      <c r="A135" s="24">
        <v>133</v>
      </c>
      <c r="B135" s="24" t="s">
        <v>734</v>
      </c>
      <c r="C135" s="24">
        <v>825</v>
      </c>
      <c r="D135" s="24">
        <v>0</v>
      </c>
      <c r="E135" s="24">
        <v>0</v>
      </c>
      <c r="F135" s="24">
        <v>75</v>
      </c>
      <c r="G135" s="24">
        <v>0</v>
      </c>
    </row>
    <row r="136" spans="1:7" x14ac:dyDescent="0.45">
      <c r="A136" s="24">
        <v>134</v>
      </c>
      <c r="B136" s="24" t="s">
        <v>395</v>
      </c>
      <c r="C136" s="24">
        <v>827</v>
      </c>
      <c r="D136" s="24">
        <v>77</v>
      </c>
      <c r="E136" s="24">
        <v>0</v>
      </c>
      <c r="F136" s="24">
        <v>0</v>
      </c>
      <c r="G136" s="24">
        <v>0</v>
      </c>
    </row>
    <row r="137" spans="1:7" x14ac:dyDescent="0.45">
      <c r="A137" s="24">
        <v>135</v>
      </c>
      <c r="B137" s="24" t="s">
        <v>738</v>
      </c>
      <c r="C137" s="24">
        <v>827</v>
      </c>
      <c r="D137" s="24">
        <v>0</v>
      </c>
      <c r="E137" s="24">
        <v>0</v>
      </c>
      <c r="F137" s="24">
        <v>77</v>
      </c>
      <c r="G137" s="24">
        <v>0</v>
      </c>
    </row>
    <row r="138" spans="1:7" x14ac:dyDescent="0.45">
      <c r="A138" s="24">
        <v>136</v>
      </c>
      <c r="B138" s="24" t="s">
        <v>830</v>
      </c>
      <c r="C138" s="24">
        <v>827</v>
      </c>
      <c r="D138" s="24">
        <v>0</v>
      </c>
      <c r="E138" s="24">
        <v>0</v>
      </c>
      <c r="F138" s="24">
        <v>0</v>
      </c>
      <c r="G138" s="24">
        <v>77</v>
      </c>
    </row>
    <row r="139" spans="1:7" x14ac:dyDescent="0.45">
      <c r="A139" s="24">
        <v>137</v>
      </c>
      <c r="B139" s="24" t="s">
        <v>603</v>
      </c>
      <c r="C139" s="24">
        <v>827</v>
      </c>
      <c r="D139" s="24">
        <v>0</v>
      </c>
      <c r="E139" s="24">
        <v>77</v>
      </c>
      <c r="F139" s="24">
        <v>0</v>
      </c>
      <c r="G139" s="24">
        <v>0</v>
      </c>
    </row>
    <row r="140" spans="1:7" x14ac:dyDescent="0.45">
      <c r="A140" s="24">
        <v>138</v>
      </c>
      <c r="B140" s="24" t="s">
        <v>831</v>
      </c>
      <c r="C140" s="24">
        <v>828</v>
      </c>
      <c r="D140" s="24">
        <v>0</v>
      </c>
      <c r="E140" s="24">
        <v>0</v>
      </c>
      <c r="F140" s="24">
        <v>0</v>
      </c>
      <c r="G140" s="24">
        <v>78</v>
      </c>
    </row>
    <row r="141" spans="1:7" x14ac:dyDescent="0.45">
      <c r="A141" s="24">
        <v>139</v>
      </c>
      <c r="B141" s="24" t="s">
        <v>740</v>
      </c>
      <c r="C141" s="24">
        <v>828</v>
      </c>
      <c r="D141" s="24">
        <v>0</v>
      </c>
      <c r="E141" s="24">
        <v>0</v>
      </c>
      <c r="F141" s="24">
        <v>78</v>
      </c>
      <c r="G141" s="24">
        <v>0</v>
      </c>
    </row>
    <row r="142" spans="1:7" x14ac:dyDescent="0.45">
      <c r="A142" s="24">
        <v>140</v>
      </c>
      <c r="B142" s="24" t="s">
        <v>604</v>
      </c>
      <c r="C142" s="24">
        <v>828</v>
      </c>
      <c r="D142" s="24">
        <v>0</v>
      </c>
      <c r="E142" s="24">
        <v>78</v>
      </c>
      <c r="F142" s="24">
        <v>0</v>
      </c>
      <c r="G142" s="24">
        <v>0</v>
      </c>
    </row>
    <row r="143" spans="1:7" x14ac:dyDescent="0.45">
      <c r="A143" s="24">
        <v>141</v>
      </c>
      <c r="B143" s="24" t="s">
        <v>742</v>
      </c>
      <c r="C143" s="24">
        <v>829</v>
      </c>
      <c r="D143" s="24">
        <v>0</v>
      </c>
      <c r="E143" s="24">
        <v>0</v>
      </c>
      <c r="F143" s="24">
        <v>79</v>
      </c>
      <c r="G143" s="24">
        <v>0</v>
      </c>
    </row>
    <row r="144" spans="1:7" x14ac:dyDescent="0.45">
      <c r="A144" s="24">
        <v>142</v>
      </c>
      <c r="B144" s="24" t="s">
        <v>605</v>
      </c>
      <c r="C144" s="24">
        <v>829</v>
      </c>
      <c r="D144" s="24">
        <v>0</v>
      </c>
      <c r="E144" s="24">
        <v>79</v>
      </c>
      <c r="F144" s="24">
        <v>0</v>
      </c>
      <c r="G144" s="24">
        <v>0</v>
      </c>
    </row>
    <row r="145" spans="1:7" x14ac:dyDescent="0.45">
      <c r="A145" s="24">
        <v>143</v>
      </c>
      <c r="B145" s="24" t="s">
        <v>832</v>
      </c>
      <c r="C145" s="24">
        <v>832</v>
      </c>
      <c r="D145" s="24">
        <v>0</v>
      </c>
      <c r="E145" s="24">
        <v>0</v>
      </c>
      <c r="F145" s="24">
        <v>0</v>
      </c>
      <c r="G145" s="24">
        <v>82</v>
      </c>
    </row>
    <row r="146" spans="1:7" x14ac:dyDescent="0.45">
      <c r="A146" s="24">
        <v>144</v>
      </c>
      <c r="B146" s="24" t="s">
        <v>833</v>
      </c>
      <c r="C146" s="24">
        <v>833</v>
      </c>
      <c r="D146" s="24">
        <v>0</v>
      </c>
      <c r="E146" s="24">
        <v>0</v>
      </c>
      <c r="F146" s="24">
        <v>0</v>
      </c>
      <c r="G146" s="24">
        <v>83</v>
      </c>
    </row>
    <row r="147" spans="1:7" x14ac:dyDescent="0.45">
      <c r="A147" s="24">
        <v>145</v>
      </c>
      <c r="B147" s="24" t="s">
        <v>609</v>
      </c>
      <c r="C147" s="24">
        <v>833</v>
      </c>
      <c r="D147" s="24">
        <v>0</v>
      </c>
      <c r="E147" s="24">
        <v>83</v>
      </c>
      <c r="F147" s="24">
        <v>0</v>
      </c>
      <c r="G147" s="24">
        <v>0</v>
      </c>
    </row>
    <row r="148" spans="1:7" x14ac:dyDescent="0.45">
      <c r="A148" s="24">
        <v>146</v>
      </c>
      <c r="B148" s="24" t="s">
        <v>610</v>
      </c>
      <c r="C148" s="24">
        <v>833</v>
      </c>
      <c r="D148" s="24">
        <v>0</v>
      </c>
      <c r="E148" s="24">
        <v>83</v>
      </c>
      <c r="F148" s="24">
        <v>0</v>
      </c>
      <c r="G148" s="24">
        <v>0</v>
      </c>
    </row>
    <row r="149" spans="1:7" x14ac:dyDescent="0.45">
      <c r="A149" s="24">
        <v>147</v>
      </c>
      <c r="B149" s="24" t="s">
        <v>612</v>
      </c>
      <c r="C149" s="24">
        <v>833</v>
      </c>
      <c r="D149" s="24">
        <v>0</v>
      </c>
      <c r="E149" s="24">
        <v>83</v>
      </c>
      <c r="F149" s="24">
        <v>0</v>
      </c>
      <c r="G149" s="24">
        <v>0</v>
      </c>
    </row>
    <row r="150" spans="1:7" x14ac:dyDescent="0.45">
      <c r="A150" s="24">
        <v>148</v>
      </c>
      <c r="B150" s="24" t="s">
        <v>835</v>
      </c>
      <c r="C150" s="24">
        <v>835</v>
      </c>
      <c r="D150" s="24">
        <v>0</v>
      </c>
      <c r="E150" s="24">
        <v>0</v>
      </c>
      <c r="F150" s="24">
        <v>0</v>
      </c>
      <c r="G150" s="24">
        <v>85</v>
      </c>
    </row>
    <row r="151" spans="1:7" x14ac:dyDescent="0.45">
      <c r="A151" s="24">
        <v>149</v>
      </c>
      <c r="B151" s="24" t="s">
        <v>434</v>
      </c>
      <c r="C151" s="24">
        <v>836</v>
      </c>
      <c r="D151" s="24">
        <v>86</v>
      </c>
      <c r="E151" s="24">
        <v>0</v>
      </c>
      <c r="F151" s="24">
        <v>0</v>
      </c>
      <c r="G151" s="24">
        <v>0</v>
      </c>
    </row>
    <row r="152" spans="1:7" x14ac:dyDescent="0.45">
      <c r="A152" s="24">
        <v>150</v>
      </c>
      <c r="B152" s="24" t="s">
        <v>836</v>
      </c>
      <c r="C152" s="24">
        <v>836</v>
      </c>
      <c r="D152" s="24">
        <v>0</v>
      </c>
      <c r="E152" s="24">
        <v>0</v>
      </c>
      <c r="F152" s="24">
        <v>0</v>
      </c>
      <c r="G152" s="24">
        <v>86</v>
      </c>
    </row>
    <row r="153" spans="1:7" x14ac:dyDescent="0.45">
      <c r="A153" s="24">
        <v>151</v>
      </c>
      <c r="B153" s="24" t="s">
        <v>438</v>
      </c>
      <c r="C153" s="24">
        <v>836</v>
      </c>
      <c r="D153" s="24">
        <v>86</v>
      </c>
      <c r="E153" s="24">
        <v>0</v>
      </c>
      <c r="F153" s="24">
        <v>0</v>
      </c>
      <c r="G153" s="24">
        <v>0</v>
      </c>
    </row>
    <row r="154" spans="1:7" x14ac:dyDescent="0.45">
      <c r="A154" s="24">
        <v>152</v>
      </c>
      <c r="B154" s="24" t="s">
        <v>751</v>
      </c>
      <c r="C154" s="24">
        <v>837</v>
      </c>
      <c r="D154" s="24">
        <v>0</v>
      </c>
      <c r="E154" s="24">
        <v>0</v>
      </c>
      <c r="F154" s="24">
        <v>87</v>
      </c>
      <c r="G154" s="24">
        <v>0</v>
      </c>
    </row>
    <row r="155" spans="1:7" x14ac:dyDescent="0.45">
      <c r="A155" s="24">
        <v>153</v>
      </c>
      <c r="B155" s="24" t="s">
        <v>756</v>
      </c>
      <c r="C155" s="24">
        <v>839</v>
      </c>
      <c r="D155" s="24">
        <v>0</v>
      </c>
      <c r="E155" s="24">
        <v>0</v>
      </c>
      <c r="F155" s="24">
        <v>89</v>
      </c>
      <c r="G155" s="24">
        <v>0</v>
      </c>
    </row>
    <row r="156" spans="1:7" x14ac:dyDescent="0.45">
      <c r="A156" s="24">
        <v>154</v>
      </c>
      <c r="B156" s="24" t="s">
        <v>615</v>
      </c>
      <c r="C156" s="24">
        <v>839</v>
      </c>
      <c r="D156" s="24">
        <v>0</v>
      </c>
      <c r="E156" s="24">
        <v>89</v>
      </c>
      <c r="F156" s="24">
        <v>0</v>
      </c>
      <c r="G156" s="24">
        <v>0</v>
      </c>
    </row>
    <row r="157" spans="1:7" x14ac:dyDescent="0.45">
      <c r="A157" s="24">
        <v>155</v>
      </c>
      <c r="B157" s="24" t="s">
        <v>616</v>
      </c>
      <c r="C157" s="24">
        <v>840</v>
      </c>
      <c r="D157" s="24">
        <v>0</v>
      </c>
      <c r="E157" s="24">
        <v>90</v>
      </c>
      <c r="F157" s="24">
        <v>0</v>
      </c>
      <c r="G157" s="24">
        <v>0</v>
      </c>
    </row>
    <row r="158" spans="1:7" x14ac:dyDescent="0.45">
      <c r="A158" s="24">
        <v>156</v>
      </c>
      <c r="B158" s="24" t="s">
        <v>451</v>
      </c>
      <c r="C158" s="24">
        <v>841</v>
      </c>
      <c r="D158" s="24">
        <v>91</v>
      </c>
      <c r="E158" s="24">
        <v>0</v>
      </c>
      <c r="F158" s="24">
        <v>0</v>
      </c>
      <c r="G158" s="24">
        <v>0</v>
      </c>
    </row>
    <row r="159" spans="1:7" x14ac:dyDescent="0.45">
      <c r="A159" s="24">
        <v>157</v>
      </c>
      <c r="B159" s="24" t="s">
        <v>761</v>
      </c>
      <c r="C159" s="24">
        <v>841</v>
      </c>
      <c r="D159" s="24">
        <v>0</v>
      </c>
      <c r="E159" s="24">
        <v>0</v>
      </c>
      <c r="F159" s="24">
        <v>91</v>
      </c>
      <c r="G159" s="24">
        <v>0</v>
      </c>
    </row>
    <row r="160" spans="1:7" x14ac:dyDescent="0.45">
      <c r="A160" s="24">
        <v>158</v>
      </c>
      <c r="B160" s="24" t="s">
        <v>837</v>
      </c>
      <c r="C160" s="24">
        <v>841</v>
      </c>
      <c r="D160" s="24">
        <v>0</v>
      </c>
      <c r="E160" s="24">
        <v>0</v>
      </c>
      <c r="F160" s="24">
        <v>0</v>
      </c>
      <c r="G160" s="24">
        <v>91</v>
      </c>
    </row>
    <row r="161" spans="1:7" x14ac:dyDescent="0.45">
      <c r="A161" s="24">
        <v>159</v>
      </c>
      <c r="B161" s="24" t="s">
        <v>763</v>
      </c>
      <c r="C161" s="24">
        <v>842</v>
      </c>
      <c r="D161" s="24">
        <v>0</v>
      </c>
      <c r="E161" s="24">
        <v>0</v>
      </c>
      <c r="F161" s="24">
        <v>92</v>
      </c>
      <c r="G161" s="24">
        <v>0</v>
      </c>
    </row>
    <row r="162" spans="1:7" x14ac:dyDescent="0.45">
      <c r="A162" s="24">
        <v>160</v>
      </c>
      <c r="B162" s="24" t="s">
        <v>460</v>
      </c>
      <c r="C162" s="24">
        <v>844</v>
      </c>
      <c r="D162" s="24">
        <v>94</v>
      </c>
      <c r="E162" s="24">
        <v>0</v>
      </c>
      <c r="F162" s="24">
        <v>0</v>
      </c>
      <c r="G162" s="24">
        <v>0</v>
      </c>
    </row>
    <row r="163" spans="1:7" x14ac:dyDescent="0.45">
      <c r="A163" s="24">
        <v>161</v>
      </c>
      <c r="B163" s="24" t="s">
        <v>770</v>
      </c>
      <c r="C163" s="24">
        <v>845</v>
      </c>
      <c r="D163" s="24">
        <v>0</v>
      </c>
      <c r="E163" s="24">
        <v>0</v>
      </c>
      <c r="F163" s="24">
        <v>95</v>
      </c>
      <c r="G163" s="24">
        <v>0</v>
      </c>
    </row>
    <row r="164" spans="1:7" x14ac:dyDescent="0.45">
      <c r="A164" s="24">
        <v>162</v>
      </c>
      <c r="B164" s="24" t="s">
        <v>469</v>
      </c>
      <c r="C164" s="24">
        <v>845</v>
      </c>
      <c r="D164" s="24">
        <v>95</v>
      </c>
      <c r="E164" s="24">
        <v>0</v>
      </c>
      <c r="F164" s="24">
        <v>0</v>
      </c>
      <c r="G164" s="24">
        <v>0</v>
      </c>
    </row>
    <row r="165" spans="1:7" x14ac:dyDescent="0.45">
      <c r="A165" s="24">
        <v>163</v>
      </c>
      <c r="B165" s="24" t="s">
        <v>773</v>
      </c>
      <c r="C165" s="24">
        <v>846</v>
      </c>
      <c r="D165" s="24">
        <v>0</v>
      </c>
      <c r="E165" s="24">
        <v>0</v>
      </c>
      <c r="F165" s="24">
        <v>96</v>
      </c>
      <c r="G165" s="24">
        <v>0</v>
      </c>
    </row>
    <row r="166" spans="1:7" x14ac:dyDescent="0.45">
      <c r="A166" s="24">
        <v>164</v>
      </c>
      <c r="B166" s="24" t="s">
        <v>620</v>
      </c>
      <c r="C166" s="24">
        <v>846</v>
      </c>
      <c r="D166" s="24">
        <v>0</v>
      </c>
      <c r="E166" s="24">
        <v>96</v>
      </c>
      <c r="F166" s="24">
        <v>0</v>
      </c>
      <c r="G166" s="24">
        <v>0</v>
      </c>
    </row>
    <row r="167" spans="1:7" x14ac:dyDescent="0.45">
      <c r="A167" s="24">
        <v>165</v>
      </c>
      <c r="B167" s="24" t="s">
        <v>776</v>
      </c>
      <c r="C167" s="24">
        <v>846</v>
      </c>
      <c r="D167" s="24">
        <v>0</v>
      </c>
      <c r="E167" s="24">
        <v>0</v>
      </c>
      <c r="F167" s="24">
        <v>96</v>
      </c>
      <c r="G167" s="24">
        <v>0</v>
      </c>
    </row>
    <row r="168" spans="1:7" x14ac:dyDescent="0.45">
      <c r="A168" s="24">
        <v>166</v>
      </c>
      <c r="B168" s="24" t="s">
        <v>844</v>
      </c>
      <c r="C168" s="24">
        <v>848</v>
      </c>
      <c r="D168" s="24">
        <v>0</v>
      </c>
      <c r="E168" s="24">
        <v>0</v>
      </c>
      <c r="F168" s="24">
        <v>0</v>
      </c>
      <c r="G168" s="24">
        <v>98</v>
      </c>
    </row>
    <row r="169" spans="1:7" x14ac:dyDescent="0.45">
      <c r="A169" s="24">
        <v>167</v>
      </c>
      <c r="B169" s="24" t="s">
        <v>778</v>
      </c>
      <c r="C169" s="24">
        <v>848</v>
      </c>
      <c r="D169" s="24">
        <v>0</v>
      </c>
      <c r="E169" s="24">
        <v>0</v>
      </c>
      <c r="F169" s="24">
        <v>98</v>
      </c>
      <c r="G169" s="24">
        <v>0</v>
      </c>
    </row>
    <row r="170" spans="1:7" x14ac:dyDescent="0.45">
      <c r="A170" s="24">
        <v>168</v>
      </c>
      <c r="B170" s="24" t="s">
        <v>780</v>
      </c>
      <c r="C170" s="24">
        <v>849</v>
      </c>
      <c r="D170" s="24">
        <v>0</v>
      </c>
      <c r="E170" s="24">
        <v>0</v>
      </c>
      <c r="F170" s="24">
        <v>99</v>
      </c>
      <c r="G170" s="24">
        <v>0</v>
      </c>
    </row>
    <row r="171" spans="1:7" x14ac:dyDescent="0.45">
      <c r="A171" s="24">
        <v>169</v>
      </c>
      <c r="B171" s="24" t="s">
        <v>477</v>
      </c>
      <c r="C171" s="24">
        <v>849</v>
      </c>
      <c r="D171" s="24">
        <v>99</v>
      </c>
      <c r="E171" s="24">
        <v>0</v>
      </c>
      <c r="F171" s="24">
        <v>0</v>
      </c>
      <c r="G171" s="24">
        <v>0</v>
      </c>
    </row>
    <row r="172" spans="1:7" x14ac:dyDescent="0.45">
      <c r="A172" s="24">
        <v>170</v>
      </c>
      <c r="B172" s="24" t="s">
        <v>782</v>
      </c>
      <c r="C172" s="24">
        <v>850</v>
      </c>
      <c r="D172" s="24">
        <v>0</v>
      </c>
      <c r="E172" s="24">
        <v>0</v>
      </c>
      <c r="F172" s="24">
        <v>100</v>
      </c>
      <c r="G172" s="24">
        <v>0</v>
      </c>
    </row>
    <row r="173" spans="1:7" x14ac:dyDescent="0.45">
      <c r="A173" s="24">
        <v>171</v>
      </c>
      <c r="B173" s="24" t="s">
        <v>845</v>
      </c>
      <c r="C173" s="24">
        <v>850</v>
      </c>
      <c r="D173" s="24">
        <v>0</v>
      </c>
      <c r="E173" s="24">
        <v>0</v>
      </c>
      <c r="F173" s="24">
        <v>0</v>
      </c>
      <c r="G173" s="24">
        <v>100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10</vt:i4>
      </vt:variant>
    </vt:vector>
  </HeadingPairs>
  <TitlesOfParts>
    <vt:vector size="10" baseType="lpstr">
      <vt:lpstr>Analizy_do_RV</vt:lpstr>
      <vt:lpstr>Perspektywy2022</vt:lpstr>
      <vt:lpstr>Webmetrics23H1_Poland</vt:lpstr>
      <vt:lpstr>THE WUR2023</vt:lpstr>
      <vt:lpstr>ARWU2022</vt:lpstr>
      <vt:lpstr>QS2023</vt:lpstr>
      <vt:lpstr>Webometrics2023H1</vt:lpstr>
      <vt:lpstr>ARWU_test</vt:lpstr>
      <vt:lpstr>RankingRV250</vt:lpstr>
      <vt:lpstr>Perspektywy2022(surowe)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JPSZ</dc:creator>
  <cp:lastModifiedBy>JPSZ</cp:lastModifiedBy>
  <dcterms:created xsi:type="dcterms:W3CDTF">2015-06-05T18:17:20Z</dcterms:created>
  <dcterms:modified xsi:type="dcterms:W3CDTF">2023-06-17T10:21:18Z</dcterms:modified>
</cp:coreProperties>
</file>